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Assumptions" sheetId="2" r:id="rId2"/>
    <sheet name="Staff &amp; Payroll" sheetId="3" r:id="rId3"/>
    <sheet name="Revenue Plan" sheetId="4" r:id="rId4"/>
    <sheet name="Operating Expenses" sheetId="5" r:id="rId5"/>
    <sheet name="CapEx &amp; Loan" sheetId="6" r:id="rId6"/>
    <sheet name="Monthly P&amp;L" sheetId="7" r:id="rId7"/>
    <sheet name="Cash Flow" sheetId="8" r:id="rId8"/>
    <sheet name="Cash Roll-Forward" sheetId="9" r:id="rId9"/>
    <sheet name="Plan vs Actual" sheetId="10" r:id="rId10"/>
  </sheets>
  <calcPr calcId="124519" fullCalcOnLoad="1"/>
</workbook>
</file>

<file path=xl/sharedStrings.xml><?xml version="1.0" encoding="utf-8"?>
<sst xmlns="http://schemas.openxmlformats.org/spreadsheetml/2006/main" count="229" uniqueCount="199">
  <si>
    <t>Harbor Creative Studio · FY2026 Budget &amp; Cash Flow Forecast</t>
  </si>
  <si>
    <t>Topic</t>
  </si>
  <si>
    <t>How to use this workbook</t>
  </si>
  <si>
    <t>What this file is</t>
  </si>
  <si>
    <t>A formula-only .xlsx budget and cash flow forecast for Harbor Creative Studio LLC, a four-person design studio in Austin, Texas, planning calendar year 2026 (Jan 1 through Dec 31). No macros or VBA of any kind, so it opens without a security prompt. If you ever add macros yourself, save as .xlsm instead.</t>
  </si>
  <si>
    <t>How the model flows</t>
  </si>
  <si>
    <t>1) Assumptions holds the scenario switch and every planning driver. 2) Staff &amp; Payroll, Revenue Plan, Operating Expenses, and CapEx &amp; Loan turn those drivers into monthly amounts. 3) Monthly P&amp;L assembles the accrual view. 4) Cash Flow re-cuts the same plan on a cash basis using collection and payment lags. 5) Cash Roll-Forward tracks the bank balance against the minimum cash covenant. 6) Plan vs Actual compares Q1 bookkeeping actuals with the plan.</t>
  </si>
  <si>
    <t>The scenario switch</t>
  </si>
  <si>
    <t>Cell C5 on Assumptions accepts Best, Base, or Worst (dropdown). Each driver row picks its Active value with INDEX and MATCH against that choice, and every downstream sheet follows. All cached values in this file reflect Base.</t>
  </si>
  <si>
    <t>Cash timing rules</t>
  </si>
  <si>
    <t>Client invoices carry NET 30 terms, modeled as a collection curve: 40% of billings are collected in the billing month, 45% one month later, and 15% two months later (Best and Worst shift the curve). Payroll and rent are paid in the month incurred; employer payroll taxes are remitted the following month; 70% of vendor invoices are paid in the month incurred and 30% the next month. January and February reach back into the Nov and Dec 2025 figures typed on Assumptions.</t>
  </si>
  <si>
    <t>Entry rules</t>
  </si>
  <si>
    <t>Typed cells are white; pale-green cells are formulas (do not overwrite). Month headers are real dates, so formulas can use EOMONTH on row 4. Amounts are positive US dollars. Depreciation is straight-line starting the month an asset is placed in service.</t>
  </si>
  <si>
    <t>Sales tax</t>
  </si>
  <si>
    <t>Amounts exclude sales tax. US sales-tax rules vary by state and by service type; in Texas, purely graphic design services are generally not taxable, but tangible deliverables and some combined contracts can be. Confirm the treatment for your state with your state Department of Revenue or your CPA before invoicing.</t>
  </si>
  <si>
    <t>Payroll note</t>
  </si>
  <si>
    <t>Employer payroll taxes use a single blended 9.5% rate for FICA plus federal and state unemployment; actual rates vary with wage bases and your state. Health insurance is a flat monthly premium per employee. The model is a planning tool, not payroll software.</t>
  </si>
  <si>
    <t>Capacity</t>
  </si>
  <si>
    <t>Monthly grids run Jan through Dec in columns C to N with the FY total in column O. The loan schedule holds exactly 36 payments. Add rows only inside the ranges the formulas already span, and extend those ranges if you do.</t>
  </si>
  <si>
    <t>Boundaries</t>
  </si>
  <si>
    <t>Teaching model for a single-user small business: no multi-user permissions, approval workflow, audit log, or automatic backups. It is not accounting software, not a loan covenant document, and not tax advice.</t>
  </si>
  <si>
    <t>Planning Assumptions · Scenario Switch and Drivers</t>
  </si>
  <si>
    <t>Setting</t>
  </si>
  <si>
    <t>Value</t>
  </si>
  <si>
    <t>Notes</t>
  </si>
  <si>
    <t>Active scenario</t>
  </si>
  <si>
    <t>Base</t>
  </si>
  <si>
    <t>Pick Best, Base, or Worst; every Active value and the whole model follow</t>
  </si>
  <si>
    <t>Opening cash, Jan 1, 2026</t>
  </si>
  <si>
    <t>Business checking balance the plan starts from</t>
  </si>
  <si>
    <t>Minimum cash covenant</t>
  </si>
  <si>
    <t>Lender requires this minimum balance while the equipment loan is outstanding</t>
  </si>
  <si>
    <t>Prior Nov 2025 billings</t>
  </si>
  <si>
    <t>Feeds the two-month-back collection tranche in January</t>
  </si>
  <si>
    <t>Prior Dec 2025 billings</t>
  </si>
  <si>
    <t>Feeds the one-month-back collection tranche in January and February</t>
  </si>
  <si>
    <t>Prior Dec 2025 vendor invoices</t>
  </si>
  <si>
    <t>Paid in January under the vendor payment lag</t>
  </si>
  <si>
    <t>Prior Dec 2025 employer payroll taxes</t>
  </si>
  <si>
    <t>Remitted in January (taxes are paid the month after the payroll)</t>
  </si>
  <si>
    <t>Driver</t>
  </si>
  <si>
    <t>Best</t>
  </si>
  <si>
    <t>Worst</t>
  </si>
  <si>
    <t>Active</t>
  </si>
  <si>
    <t>Retainer clients under contract</t>
  </si>
  <si>
    <t>Retainer clients billed every month of the year</t>
  </si>
  <si>
    <t>Average monthly retainer fee</t>
  </si>
  <si>
    <t>Billed per retainer client each month</t>
  </si>
  <si>
    <t>Project engagements per month</t>
  </si>
  <si>
    <t>Steady-state count before the seasonal index</t>
  </si>
  <si>
    <t>Average project fee</t>
  </si>
  <si>
    <t>Blended average across brand and web engagements</t>
  </si>
  <si>
    <t>Contractor cost ratio</t>
  </si>
  <si>
    <t>Freelance delivery cost as a share of project billings</t>
  </si>
  <si>
    <t>Collected in month billed</t>
  </si>
  <si>
    <t>Share of billings collected in the month billed</t>
  </si>
  <si>
    <t>Collected in month +1</t>
  </si>
  <si>
    <t>Share collected the following month (the NET 30 core)</t>
  </si>
  <si>
    <t>Collected in month +2</t>
  </si>
  <si>
    <t>Share collected about 60 days out (slow payers)</t>
  </si>
  <si>
    <t>Vendor invoices paid in month</t>
  </si>
  <si>
    <t>Share of vendor invoices paid in the month incurred</t>
  </si>
  <si>
    <t>Employer payroll tax rate</t>
  </si>
  <si>
    <t>Employer FICA plus FUTA/SUTA on wages (statutory)</t>
  </si>
  <si>
    <t>Health insurance per employee / month</t>
  </si>
  <si>
    <t>Monthly premium per enrolled employee</t>
  </si>
  <si>
    <t>Staff &amp; Payroll · FY2026 Roster and Fully Loaded Cost</t>
  </si>
  <si>
    <t>Employee</t>
  </si>
  <si>
    <t>Role</t>
  </si>
  <si>
    <t>Start Date</t>
  </si>
  <si>
    <t>Annual Salary</t>
  </si>
  <si>
    <t>Monthly Salary</t>
  </si>
  <si>
    <t>Employer Taxes / Mo</t>
  </si>
  <si>
    <t>Health / Mo</t>
  </si>
  <si>
    <t>Total Cost / Mo</t>
  </si>
  <si>
    <t>Months in FY2026</t>
  </si>
  <si>
    <t>FY2026 Cost</t>
  </si>
  <si>
    <t>Maya Okafor</t>
  </si>
  <si>
    <t>Owner &amp; Creative Director</t>
  </si>
  <si>
    <t>Luis Herrera</t>
  </si>
  <si>
    <t>Senior Designer</t>
  </si>
  <si>
    <t>Priya Nair</t>
  </si>
  <si>
    <t>Designer</t>
  </si>
  <si>
    <t>Dana Whitfield</t>
  </si>
  <si>
    <t>Studio Manager</t>
  </si>
  <si>
    <t>Ellis Townsend</t>
  </si>
  <si>
    <t>Junior Designer (planned hire)</t>
  </si>
  <si>
    <t>TOTAL</t>
  </si>
  <si>
    <t>Revenue Plan · Seasonality, Billings, and Collections</t>
  </si>
  <si>
    <t>Line</t>
  </si>
  <si>
    <t>FY 2026</t>
  </si>
  <si>
    <t>SEASONAL DEMAND INDEX</t>
  </si>
  <si>
    <t>Seasonal index (100% = average month)</t>
  </si>
  <si>
    <t>BILLINGS</t>
  </si>
  <si>
    <t>Retainer billings</t>
  </si>
  <si>
    <t>Project billings</t>
  </si>
  <si>
    <t>Total billings</t>
  </si>
  <si>
    <t>RECEIVABLES ROLL-FORWARD (NET 30 TERMS)</t>
  </si>
  <si>
    <t>Opening accounts receivable</t>
  </si>
  <si>
    <t>Total billings (linked)</t>
  </si>
  <si>
    <t>Collections from customers</t>
  </si>
  <si>
    <t>Closing accounts receivable</t>
  </si>
  <si>
    <t>COLLECTION TIMING DETAIL</t>
  </si>
  <si>
    <t>Collected: billed this month</t>
  </si>
  <si>
    <t>Collected: billed last month</t>
  </si>
  <si>
    <t>Collected: billed two months back</t>
  </si>
  <si>
    <t>Operating Expenses · FY2026 Non-Payroll Cost Plan</t>
  </si>
  <si>
    <t>DIRECT DELIVERY COSTS (VARIABLE)</t>
  </si>
  <si>
    <t>Contractor &amp; freelance</t>
  </si>
  <si>
    <t>STUDIO &amp; ADMINISTRATIVE (TYPED MONTH BY MONTH)</t>
  </si>
  <si>
    <t>Rent, studio (East Austin)</t>
  </si>
  <si>
    <t>Software &amp; subscriptions</t>
  </si>
  <si>
    <t>Marketing &amp; business development</t>
  </si>
  <si>
    <t>Insurance &amp; professional fees</t>
  </si>
  <si>
    <t>Travel &amp; training</t>
  </si>
  <si>
    <t>TOTAL NON-PAYROLL COSTS</t>
  </si>
  <si>
    <t>MEMO: CASH TIMING</t>
  </si>
  <si>
    <t>Vendor invoices incurred (memo)</t>
  </si>
  <si>
    <t>CapEx &amp; Loan · Asset Plan and Equipment Loan Schedule</t>
  </si>
  <si>
    <t>Asset</t>
  </si>
  <si>
    <t>In Service Date</t>
  </si>
  <si>
    <t>Cost</t>
  </si>
  <si>
    <t>Life (Yrs)</t>
  </si>
  <si>
    <t>Monthly Depreciation</t>
  </si>
  <si>
    <t>2026 Cash Outlay</t>
  </si>
  <si>
    <t>Workstations &amp; displays</t>
  </si>
  <si>
    <t>Four rebuilt workstations and color-accurate displays</t>
  </si>
  <si>
    <t>Studio build-out (leasehold)</t>
  </si>
  <si>
    <t>Funded by an 18,000 equipment loan plus 3,600 of cash</t>
  </si>
  <si>
    <t>Cameras &amp; production kit</t>
  </si>
  <si>
    <t>Deferrable to 2027 if cash runs tight</t>
  </si>
  <si>
    <t>Furniture &amp; fixtures (2024)</t>
  </si>
  <si>
    <t>Placed in service in 2024; depreciation only in 2026</t>
  </si>
  <si>
    <t>Straight-line depreciation, starting the month placed in service</t>
  </si>
  <si>
    <t>EQUIPMENT LOAN AMORTIZATION</t>
  </si>
  <si>
    <t>Loan amount</t>
  </si>
  <si>
    <t>Annual interest rate (APR)</t>
  </si>
  <si>
    <t>Term in months</t>
  </si>
  <si>
    <t>Monthly payment (lender quote)</t>
  </si>
  <si>
    <t>No.</t>
  </si>
  <si>
    <t>Payment Date</t>
  </si>
  <si>
    <t>Payment</t>
  </si>
  <si>
    <t>Interest</t>
  </si>
  <si>
    <t>Principal</t>
  </si>
  <si>
    <t>Ending Balance</t>
  </si>
  <si>
    <t>Monthly P&amp;L · FY2026 Accrual Profit and Loss</t>
  </si>
  <si>
    <t>REVENUE</t>
  </si>
  <si>
    <t>Retainer revenue</t>
  </si>
  <si>
    <t>Project revenue</t>
  </si>
  <si>
    <t>Total revenue</t>
  </si>
  <si>
    <t>COST OF DELIVERY</t>
  </si>
  <si>
    <t>Gross profit</t>
  </si>
  <si>
    <t>Gross margin %</t>
  </si>
  <si>
    <t>OPERATING EXPENSES</t>
  </si>
  <si>
    <t>Salaries &amp; wages</t>
  </si>
  <si>
    <t>Employer payroll taxes</t>
  </si>
  <si>
    <t>Health insurance</t>
  </si>
  <si>
    <t>Rent, studio</t>
  </si>
  <si>
    <t>Total operating expenses</t>
  </si>
  <si>
    <t>RESULTS</t>
  </si>
  <si>
    <t>EBITDA (before depreciation &amp; interest)</t>
  </si>
  <si>
    <t>Depreciation</t>
  </si>
  <si>
    <t>Interest expense</t>
  </si>
  <si>
    <t>Net profit</t>
  </si>
  <si>
    <t>Net margin %</t>
  </si>
  <si>
    <t>Cash Flow · FY2026 Direct Method with Timing Lags</t>
  </si>
  <si>
    <t>CASH RECEIVED</t>
  </si>
  <si>
    <t>Equipment loan proceeds</t>
  </si>
  <si>
    <t>Total cash received</t>
  </si>
  <si>
    <t>CASH PAID</t>
  </si>
  <si>
    <t>Salaries paid</t>
  </si>
  <si>
    <t>Health insurance paid</t>
  </si>
  <si>
    <t>Employer payroll taxes remitted</t>
  </si>
  <si>
    <t>Rent paid</t>
  </si>
  <si>
    <t>Software &amp; subscriptions paid</t>
  </si>
  <si>
    <t>Vendor invoices paid</t>
  </si>
  <si>
    <t>Capital purchases paid</t>
  </si>
  <si>
    <t>Loan payments (principal + interest)</t>
  </si>
  <si>
    <t>Total cash paid</t>
  </si>
  <si>
    <t>Net cash flow</t>
  </si>
  <si>
    <t>Cash Roll-Forward · Balance and Minimum Cash Covenant</t>
  </si>
  <si>
    <t>Opening cash</t>
  </si>
  <si>
    <t>Closing cash</t>
  </si>
  <si>
    <t>Cushion above covenant</t>
  </si>
  <si>
    <t>Covenant status</t>
  </si>
  <si>
    <t>MEMO</t>
  </si>
  <si>
    <t>Plan vs Actual · Q1 2026 Variance Review</t>
  </si>
  <si>
    <t>Jan Actual</t>
  </si>
  <si>
    <t>Jan Plan</t>
  </si>
  <si>
    <t>Jan Variance</t>
  </si>
  <si>
    <t>Feb Actual</t>
  </si>
  <si>
    <t>Feb Plan</t>
  </si>
  <si>
    <t>Feb Variance</t>
  </si>
  <si>
    <t>Mar Actual</t>
  </si>
  <si>
    <t>Mar Plan</t>
  </si>
  <si>
    <t>Mar Variance</t>
  </si>
  <si>
    <t>Q1 Actual</t>
  </si>
  <si>
    <t>Q1 Plan</t>
  </si>
  <si>
    <t>Q1 Variance</t>
  </si>
</sst>
</file>

<file path=xl/styles.xml><?xml version="1.0" encoding="utf-8"?>
<styleSheet xmlns="http://schemas.openxmlformats.org/spreadsheetml/2006/main">
  <numFmts count="4">
    <numFmt numFmtId="164" formatCode="$#,##0.00"/>
    <numFmt numFmtId="165" formatCode="0.0%"/>
    <numFmt numFmtId="166" formatCode="mmm d, yyyy"/>
    <numFmt numFmtId="167" formatCode="mmm yyyy"/>
  </numFmts>
  <fonts count="5">
    <font>
      <sz val="11"/>
      <color theme="1"/>
      <name val="Calibri"/>
      <family val="2"/>
      <scheme val="minor"/>
    </font>
    <font>
      <b/>
      <sz val="14"/>
      <color theme="1"/>
      <name val="Calibri"/>
      <family val="2"/>
      <scheme val="minor"/>
    </font>
    <font>
      <b/>
      <sz val="11"/>
      <color rgb="FFFFFFFF"/>
      <name val="Calibri"/>
      <family val="2"/>
      <scheme val="minor"/>
    </font>
    <font>
      <b/>
      <sz val="11"/>
      <color theme="1"/>
      <name val="Calibri"/>
      <family val="2"/>
      <scheme val="minor"/>
    </font>
    <font>
      <b/>
      <sz val="11"/>
      <color rgb="FF166454"/>
      <name val="Calibri"/>
      <family val="2"/>
      <scheme val="minor"/>
    </font>
  </fonts>
  <fills count="6">
    <fill>
      <patternFill patternType="none"/>
    </fill>
    <fill>
      <patternFill patternType="gray125"/>
    </fill>
    <fill>
      <patternFill patternType="solid">
        <fgColor rgb="FF166454"/>
        <bgColor indexed="64"/>
      </patternFill>
    </fill>
    <fill>
      <patternFill patternType="solid">
        <fgColor rgb="FFEFF6F3"/>
        <bgColor indexed="64"/>
      </patternFill>
    </fill>
    <fill>
      <patternFill patternType="solid">
        <fgColor rgb="FFF4F1E6"/>
        <bgColor indexed="64"/>
      </patternFill>
    </fill>
    <fill>
      <patternFill patternType="solid">
        <fgColor rgb="FFE3EEE8"/>
        <bgColor indexed="64"/>
      </patternFill>
    </fill>
  </fills>
  <borders count="3">
    <border>
      <left/>
      <right/>
      <top/>
      <bottom/>
      <diagonal/>
    </border>
    <border>
      <left style="thin">
        <color rgb="FF166454"/>
      </left>
      <right style="thin">
        <color rgb="FF166454"/>
      </right>
      <top style="thin">
        <color rgb="FF166454"/>
      </top>
      <bottom style="thin">
        <color rgb="FF166454"/>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8">
    <xf numFmtId="0" fontId="0" fillId="0" borderId="0" xfId="0"/>
    <xf numFmtId="0" fontId="1" fillId="0" borderId="0" xfId="0" applyFont="1"/>
    <xf numFmtId="0" fontId="2" fillId="2" borderId="1" xfId="0" applyFont="1" applyFill="1" applyBorder="1" applyAlignment="1">
      <alignment vertical="center" wrapText="1"/>
    </xf>
    <xf numFmtId="0" fontId="0" fillId="0" borderId="2" xfId="0" applyBorder="1" applyAlignment="1">
      <alignment vertical="top" wrapText="1"/>
    </xf>
    <xf numFmtId="164" fontId="0" fillId="0" borderId="2" xfId="0" applyNumberFormat="1" applyBorder="1"/>
    <xf numFmtId="1" fontId="0" fillId="0" borderId="2" xfId="0" applyNumberFormat="1" applyBorder="1"/>
    <xf numFmtId="1" fontId="0" fillId="3" borderId="2" xfId="0" applyNumberFormat="1" applyFill="1" applyBorder="1"/>
    <xf numFmtId="164" fontId="0" fillId="3" borderId="2" xfId="0" applyNumberFormat="1" applyFill="1" applyBorder="1"/>
    <xf numFmtId="165" fontId="0" fillId="0" borderId="2" xfId="0" applyNumberFormat="1" applyBorder="1"/>
    <xf numFmtId="165" fontId="0" fillId="3" borderId="2" xfId="0" applyNumberFormat="1" applyFill="1" applyBorder="1"/>
    <xf numFmtId="166" fontId="0" fillId="0" borderId="2" xfId="0" applyNumberFormat="1" applyBorder="1"/>
    <xf numFmtId="0" fontId="3" fillId="4" borderId="2" xfId="0" applyFont="1" applyFill="1" applyBorder="1"/>
    <xf numFmtId="164" fontId="3" fillId="4" borderId="2" xfId="0" applyNumberFormat="1" applyFont="1" applyFill="1" applyBorder="1"/>
    <xf numFmtId="1" fontId="3" fillId="4" borderId="2" xfId="0" applyNumberFormat="1" applyFont="1" applyFill="1" applyBorder="1"/>
    <xf numFmtId="167" fontId="2" fillId="2" borderId="1" xfId="0" applyNumberFormat="1" applyFont="1" applyFill="1" applyBorder="1" applyAlignment="1">
      <alignment horizontal="center" vertical="center"/>
    </xf>
    <xf numFmtId="0" fontId="4" fillId="5" borderId="2" xfId="0" applyFont="1" applyFill="1" applyBorder="1"/>
    <xf numFmtId="166" fontId="0" fillId="3" borderId="2" xfId="0" applyNumberFormat="1" applyFill="1" applyBorder="1"/>
    <xf numFmtId="0" fontId="0" fillId="3" borderId="2" xfId="0" applyFill="1" applyBorder="1"/>
  </cellXfs>
  <cellStyles count="1">
    <cellStyle name="Normal" xfId="0" builtinId="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Calibri"/>
        <a:font script="Hang" typeface="Calibri"/>
        <a:font script="Hans" typeface="Calibri"/>
        <a:font script="Hant" typeface="Calibri"/>
        <a:font script="Arab" typeface=""/>
        <a:font script="Hebr" typeface=""/>
        <a:font script="Thai" typeface=""/>
        <a:font script="Ethi" typeface=""/>
        <a:font script="Beng" typeface=""/>
        <a:font script="Gujr" typeface=""/>
        <a:font script="Khmr" typeface=""/>
        <a:font script="Knda" typeface=""/>
        <a:font script="Guru" typeface=""/>
        <a:font script="Cans" typeface=""/>
        <a:font script="Cher" typeface=""/>
        <a:font script="Yiii" typeface=""/>
        <a:font script="Tibt" typeface=""/>
        <a:font script="Thaa" typeface=""/>
        <a:font script="Deva" typeface=""/>
        <a:font script="Telu" typeface=""/>
        <a:font script="Taml" typeface=""/>
        <a:font script="Syrc" typeface=""/>
        <a:font script="Orya" typeface=""/>
        <a:font script="Mlym" typeface=""/>
        <a:font script="Laoo" typeface=""/>
        <a:font script="Sinh" typeface=""/>
        <a:font script="Mong" typeface=""/>
        <a:font script="Viet" typeface=""/>
        <a:font script="Uigh" typeface=""/>
      </a:majorFont>
      <a:minorFont>
        <a:latin typeface="Calibri"/>
        <a:ea typeface=""/>
        <a:cs typeface=""/>
        <a:font script="Jpan" typeface="Calibri"/>
        <a:font script="Hang" typeface="Calibri"/>
        <a:font script="Hans" typeface="Calibri"/>
        <a:font script="Hant" typeface="Calibri"/>
        <a:font script="Arab" typeface=""/>
        <a:font script="Hebr" typeface=""/>
        <a:font script="Thai" typeface=""/>
        <a:font script="Ethi" typeface=""/>
        <a:font script="Beng" typeface=""/>
        <a:font script="Gujr" typeface=""/>
        <a:font script="Khmr" typeface=""/>
        <a:font script="Knda" typeface=""/>
        <a:font script="Guru" typeface=""/>
        <a:font script="Cans" typeface=""/>
        <a:font script="Cher" typeface=""/>
        <a:font script="Yiii" typeface=""/>
        <a:font script="Tibt" typeface=""/>
        <a:font script="Thaa" typeface=""/>
        <a:font script="Deva" typeface=""/>
        <a:font script="Telu" typeface=""/>
        <a:font script="Taml" typeface=""/>
        <a:font script="Syrc" typeface=""/>
        <a:font script="Orya" typeface=""/>
        <a:font script="Mlym" typeface=""/>
        <a:font script="Laoo" typeface=""/>
        <a:font script="Sinh" typeface=""/>
        <a:font script="Mong" typeface=""/>
        <a:font script="Viet" typeface=""/>
        <a:font script="Uigh"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D13"/>
  <sheetViews>
    <sheetView tabSelected="1" workbookViewId="0">
      <pane ySplit="4" topLeftCell="A5" activePane="bottomLeft" state="frozen"/>
      <selection pane="bottomLeft"/>
    </sheetView>
  </sheetViews>
  <sheetFormatPr defaultRowHeight="15"/>
  <cols>
    <col min="2" max="2" width="22.7109375" customWidth="1"/>
    <col min="3" max="3" width="100.7109375" customWidth="1"/>
  </cols>
  <sheetData>
    <row r="2" spans="2:4">
      <c r="B2" s="1" t="s">
        <v>0</v>
      </c>
      <c r="C2" s="1"/>
      <c r="D2" s="1"/>
    </row>
    <row r="4" spans="2:4" ht="28" customHeight="1">
      <c r="B4" s="2" t="s">
        <v>1</v>
      </c>
      <c r="C4" s="2" t="s">
        <v>2</v>
      </c>
    </row>
    <row r="5" spans="2:4">
      <c r="B5" s="3" t="s">
        <v>3</v>
      </c>
      <c r="C5" s="3" t="s">
        <v>4</v>
      </c>
    </row>
    <row r="6" spans="2:4">
      <c r="B6" s="3" t="s">
        <v>5</v>
      </c>
      <c r="C6" s="3" t="s">
        <v>6</v>
      </c>
    </row>
    <row r="7" spans="2:4">
      <c r="B7" s="3" t="s">
        <v>7</v>
      </c>
      <c r="C7" s="3" t="s">
        <v>8</v>
      </c>
    </row>
    <row r="8" spans="2:4">
      <c r="B8" s="3" t="s">
        <v>9</v>
      </c>
      <c r="C8" s="3" t="s">
        <v>10</v>
      </c>
    </row>
    <row r="9" spans="2:4">
      <c r="B9" s="3" t="s">
        <v>11</v>
      </c>
      <c r="C9" s="3" t="s">
        <v>12</v>
      </c>
    </row>
    <row r="10" spans="2:4">
      <c r="B10" s="3" t="s">
        <v>13</v>
      </c>
      <c r="C10" s="3" t="s">
        <v>14</v>
      </c>
    </row>
    <row r="11" spans="2:4">
      <c r="B11" s="3" t="s">
        <v>15</v>
      </c>
      <c r="C11" s="3" t="s">
        <v>16</v>
      </c>
    </row>
    <row r="12" spans="2:4">
      <c r="B12" s="3" t="s">
        <v>17</v>
      </c>
      <c r="C12" s="3" t="s">
        <v>18</v>
      </c>
    </row>
    <row r="13" spans="2:4">
      <c r="B13" s="3" t="s">
        <v>19</v>
      </c>
      <c r="C13" s="3" t="s">
        <v>20</v>
      </c>
    </row>
  </sheetData>
  <mergeCells count="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H24"/>
  <sheetViews>
    <sheetView workbookViewId="0">
      <pane ySplit="4" topLeftCell="A5" activePane="bottomLeft" state="frozen"/>
      <selection pane="bottomLeft"/>
    </sheetView>
  </sheetViews>
  <sheetFormatPr defaultRowHeight="15"/>
  <cols>
    <col min="2" max="2" width="36.7109375" customWidth="1"/>
    <col min="3" max="3" width="15.7109375" customWidth="1"/>
    <col min="4" max="5" width="13.7109375" customWidth="1"/>
    <col min="6" max="6" width="14.7109375" customWidth="1"/>
    <col min="7" max="7" width="62.7109375" customWidth="1"/>
  </cols>
  <sheetData>
    <row r="2" spans="2:8">
      <c r="B2" s="1" t="s">
        <v>21</v>
      </c>
      <c r="C2" s="1"/>
      <c r="D2" s="1"/>
      <c r="E2" s="1"/>
      <c r="F2" s="1"/>
      <c r="G2" s="1"/>
      <c r="H2" s="1"/>
    </row>
    <row r="4" spans="2:8" ht="28" customHeight="1">
      <c r="B4" s="2" t="s">
        <v>22</v>
      </c>
      <c r="C4" s="2" t="s">
        <v>23</v>
      </c>
      <c r="D4" s="2" t="s">
        <v>24</v>
      </c>
    </row>
    <row r="5" spans="2:8">
      <c r="B5" s="3" t="s">
        <v>25</v>
      </c>
      <c r="C5" s="4" t="s">
        <v>26</v>
      </c>
      <c r="D5" s="4" t="s">
        <v>27</v>
      </c>
    </row>
    <row r="6" spans="2:8">
      <c r="B6" s="3" t="s">
        <v>28</v>
      </c>
      <c r="C6" s="4">
        <v>38000</v>
      </c>
      <c r="D6" s="4" t="s">
        <v>29</v>
      </c>
    </row>
    <row r="7" spans="2:8">
      <c r="B7" s="3" t="s">
        <v>30</v>
      </c>
      <c r="C7" s="4">
        <v>30000</v>
      </c>
      <c r="D7" s="4" t="s">
        <v>31</v>
      </c>
    </row>
    <row r="8" spans="2:8">
      <c r="B8" s="3" t="s">
        <v>32</v>
      </c>
      <c r="C8" s="4">
        <v>61500</v>
      </c>
      <c r="D8" s="4" t="s">
        <v>33</v>
      </c>
    </row>
    <row r="9" spans="2:8">
      <c r="B9" s="3" t="s">
        <v>34</v>
      </c>
      <c r="C9" s="4">
        <v>63000</v>
      </c>
      <c r="D9" s="4" t="s">
        <v>35</v>
      </c>
    </row>
    <row r="10" spans="2:8">
      <c r="B10" s="3" t="s">
        <v>36</v>
      </c>
      <c r="C10" s="4">
        <v>9750</v>
      </c>
      <c r="D10" s="4" t="s">
        <v>37</v>
      </c>
    </row>
    <row r="11" spans="2:8">
      <c r="B11" s="3" t="s">
        <v>38</v>
      </c>
      <c r="C11" s="4">
        <v>2403.5</v>
      </c>
      <c r="D11" s="4" t="s">
        <v>39</v>
      </c>
    </row>
    <row r="13" spans="2:8">
      <c r="B13" s="2" t="s">
        <v>40</v>
      </c>
      <c r="C13" s="2" t="s">
        <v>41</v>
      </c>
      <c r="D13" s="2" t="s">
        <v>26</v>
      </c>
      <c r="E13" s="2" t="s">
        <v>42</v>
      </c>
      <c r="F13" s="2" t="s">
        <v>43</v>
      </c>
      <c r="G13" s="2" t="s">
        <v>24</v>
      </c>
    </row>
    <row r="14" spans="2:8">
      <c r="B14" s="3" t="s">
        <v>44</v>
      </c>
      <c r="C14" s="5">
        <v>3</v>
      </c>
      <c r="D14" s="5">
        <v>3</v>
      </c>
      <c r="E14" s="5">
        <v>2</v>
      </c>
      <c r="F14" s="6">
        <f>INDEX($C14:$E14,1,MATCH($C$5,$C$13:$E$13,0))</f>
        <v>3</v>
      </c>
      <c r="G14" s="3" t="s">
        <v>45</v>
      </c>
    </row>
    <row r="15" spans="2:8">
      <c r="B15" s="3" t="s">
        <v>46</v>
      </c>
      <c r="C15" s="4">
        <v>7000</v>
      </c>
      <c r="D15" s="4">
        <v>6500</v>
      </c>
      <c r="E15" s="4">
        <v>6000</v>
      </c>
      <c r="F15" s="7">
        <f>INDEX($C15:$E15,1,MATCH($C$5,$C$13:$E$13,0))</f>
        <v>6500</v>
      </c>
      <c r="G15" s="3" t="s">
        <v>47</v>
      </c>
    </row>
    <row r="16" spans="2:8">
      <c r="B16" s="3" t="s">
        <v>48</v>
      </c>
      <c r="C16" s="5">
        <v>5</v>
      </c>
      <c r="D16" s="5">
        <v>4</v>
      </c>
      <c r="E16" s="5">
        <v>4</v>
      </c>
      <c r="F16" s="6">
        <f>INDEX($C16:$E16,1,MATCH($C$5,$C$13:$E$13,0))</f>
        <v>4</v>
      </c>
      <c r="G16" s="3" t="s">
        <v>49</v>
      </c>
    </row>
    <row r="17" spans="2:7">
      <c r="B17" s="3" t="s">
        <v>50</v>
      </c>
      <c r="C17" s="4">
        <v>10000</v>
      </c>
      <c r="D17" s="4">
        <v>9500</v>
      </c>
      <c r="E17" s="4">
        <v>8500</v>
      </c>
      <c r="F17" s="7">
        <f>INDEX($C17:$E17,1,MATCH($C$5,$C$13:$E$13,0))</f>
        <v>9500</v>
      </c>
      <c r="G17" s="3" t="s">
        <v>51</v>
      </c>
    </row>
    <row r="18" spans="2:7">
      <c r="B18" s="3" t="s">
        <v>52</v>
      </c>
      <c r="C18" s="8">
        <v>0.22</v>
      </c>
      <c r="D18" s="8">
        <v>0.25</v>
      </c>
      <c r="E18" s="8">
        <v>0.28</v>
      </c>
      <c r="F18" s="9">
        <f>INDEX($C18:$E18,1,MATCH($C$5,$C$13:$E$13,0))</f>
        <v>0.25</v>
      </c>
      <c r="G18" s="3" t="s">
        <v>53</v>
      </c>
    </row>
    <row r="19" spans="2:7">
      <c r="B19" s="3" t="s">
        <v>54</v>
      </c>
      <c r="C19" s="8">
        <v>0.5</v>
      </c>
      <c r="D19" s="8">
        <v>0.4</v>
      </c>
      <c r="E19" s="8">
        <v>0.3</v>
      </c>
      <c r="F19" s="9">
        <f>INDEX($C19:$E19,1,MATCH($C$5,$C$13:$E$13,0))</f>
        <v>0.4</v>
      </c>
      <c r="G19" s="3" t="s">
        <v>55</v>
      </c>
    </row>
    <row r="20" spans="2:7">
      <c r="B20" s="3" t="s">
        <v>56</v>
      </c>
      <c r="C20" s="8">
        <v>0.45</v>
      </c>
      <c r="D20" s="8">
        <v>0.45</v>
      </c>
      <c r="E20" s="8">
        <v>0.45</v>
      </c>
      <c r="F20" s="9">
        <f>INDEX($C20:$E20,1,MATCH($C$5,$C$13:$E$13,0))</f>
        <v>0.45</v>
      </c>
      <c r="G20" s="3" t="s">
        <v>57</v>
      </c>
    </row>
    <row r="21" spans="2:7">
      <c r="B21" s="3" t="s">
        <v>58</v>
      </c>
      <c r="C21" s="8">
        <v>0.05</v>
      </c>
      <c r="D21" s="8">
        <v>0.15</v>
      </c>
      <c r="E21" s="8">
        <v>0.25</v>
      </c>
      <c r="F21" s="9">
        <f>INDEX($C21:$E21,1,MATCH($C$5,$C$13:$E$13,0))</f>
        <v>0.15</v>
      </c>
      <c r="G21" s="3" t="s">
        <v>59</v>
      </c>
    </row>
    <row r="22" spans="2:7">
      <c r="B22" s="3" t="s">
        <v>60</v>
      </c>
      <c r="C22" s="8">
        <v>0.8</v>
      </c>
      <c r="D22" s="8">
        <v>0.7</v>
      </c>
      <c r="E22" s="8">
        <v>0.6</v>
      </c>
      <c r="F22" s="9">
        <f>INDEX($C22:$E22,1,MATCH($C$5,$C$13:$E$13,0))</f>
        <v>0.7</v>
      </c>
      <c r="G22" s="3" t="s">
        <v>61</v>
      </c>
    </row>
    <row r="23" spans="2:7">
      <c r="B23" s="3" t="s">
        <v>62</v>
      </c>
      <c r="C23" s="8">
        <v>0.095</v>
      </c>
      <c r="D23" s="8">
        <v>0.095</v>
      </c>
      <c r="E23" s="8">
        <v>0.095</v>
      </c>
      <c r="F23" s="9">
        <f>INDEX($C23:$E23,1,MATCH($C$5,$C$13:$E$13,0))</f>
        <v>0.095</v>
      </c>
      <c r="G23" s="3" t="s">
        <v>63</v>
      </c>
    </row>
    <row r="24" spans="2:7">
      <c r="B24" s="3" t="s">
        <v>64</v>
      </c>
      <c r="C24" s="4">
        <v>520</v>
      </c>
      <c r="D24" s="4">
        <v>560</v>
      </c>
      <c r="E24" s="4">
        <v>620</v>
      </c>
      <c r="F24" s="7">
        <f>INDEX($C24:$E24,1,MATCH($C$5,$C$13:$E$13,0))</f>
        <v>560</v>
      </c>
      <c r="G24" s="3" t="s">
        <v>65</v>
      </c>
    </row>
  </sheetData>
  <mergeCells count="1">
    <mergeCell ref="B2:H2"/>
  </mergeCells>
  <dataValidations count="1">
    <dataValidation type="list" allowBlank="1" showInputMessage="1" showErrorMessage="1" errorTitle="Invalid entry" error="Please pick a value from the list." sqref="C5">
      <formula1>"Best,Base,Worst"</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L10"/>
  <sheetViews>
    <sheetView workbookViewId="0">
      <pane ySplit="4" topLeftCell="A5" activePane="bottomLeft" state="frozen"/>
      <selection pane="bottomLeft"/>
    </sheetView>
  </sheetViews>
  <sheetFormatPr defaultRowHeight="15"/>
  <cols>
    <col min="2" max="2" width="18.7109375" customWidth="1"/>
    <col min="3" max="3" width="26.7109375" customWidth="1"/>
    <col min="4" max="7" width="13.7109375" customWidth="1"/>
    <col min="8" max="8" width="12.7109375" customWidth="1"/>
    <col min="9" max="9" width="13.7109375" customWidth="1"/>
    <col min="10" max="10" width="12.7109375" customWidth="1"/>
    <col min="11" max="11" width="13.7109375" customWidth="1"/>
  </cols>
  <sheetData>
    <row r="2" spans="2:12">
      <c r="B2" s="1" t="s">
        <v>66</v>
      </c>
      <c r="C2" s="1"/>
      <c r="D2" s="1"/>
      <c r="E2" s="1"/>
      <c r="F2" s="1"/>
      <c r="G2" s="1"/>
      <c r="H2" s="1"/>
      <c r="I2" s="1"/>
      <c r="J2" s="1"/>
      <c r="K2" s="1"/>
      <c r="L2" s="1"/>
    </row>
    <row r="4" spans="2:12" ht="28" customHeight="1">
      <c r="B4" s="2" t="s">
        <v>67</v>
      </c>
      <c r="C4" s="2" t="s">
        <v>68</v>
      </c>
      <c r="D4" s="2" t="s">
        <v>69</v>
      </c>
      <c r="E4" s="2" t="s">
        <v>70</v>
      </c>
      <c r="F4" s="2" t="s">
        <v>71</v>
      </c>
      <c r="G4" s="2" t="s">
        <v>72</v>
      </c>
      <c r="H4" s="2" t="s">
        <v>73</v>
      </c>
      <c r="I4" s="2" t="s">
        <v>74</v>
      </c>
      <c r="J4" s="2" t="s">
        <v>75</v>
      </c>
      <c r="K4" s="2" t="s">
        <v>76</v>
      </c>
    </row>
    <row r="5" spans="2:12">
      <c r="B5" s="3" t="s">
        <v>77</v>
      </c>
      <c r="C5" s="3" t="s">
        <v>78</v>
      </c>
      <c r="D5" s="10">
        <v>44270</v>
      </c>
      <c r="E5" s="4">
        <v>102000</v>
      </c>
      <c r="F5" s="7">
        <f>$E5/12</f>
        <v>8500.0</v>
      </c>
      <c r="G5" s="7">
        <f>ROUND($F5*Assumptions!$F$23,2)</f>
        <v>807.5</v>
      </c>
      <c r="H5" s="7">
        <f>Assumptions!$F$24</f>
        <v>560</v>
      </c>
      <c r="I5" s="7">
        <f>$F5+$G5+$H5</f>
        <v>9867.5</v>
      </c>
      <c r="J5" s="6">
        <f>IF($D5="",0,IF(YEAR($D5)&lt;2026,12,13-MONTH($D5)))</f>
        <v>12</v>
      </c>
      <c r="K5" s="7">
        <f>$I5*$J5</f>
        <v>118410.0</v>
      </c>
    </row>
    <row r="6" spans="2:12">
      <c r="B6" s="3" t="s">
        <v>79</v>
      </c>
      <c r="C6" s="3" t="s">
        <v>80</v>
      </c>
      <c r="D6" s="10">
        <v>44713</v>
      </c>
      <c r="E6" s="4">
        <v>78000</v>
      </c>
      <c r="F6" s="7">
        <f>$E6/12</f>
        <v>6500.0</v>
      </c>
      <c r="G6" s="7">
        <f>ROUND($F6*Assumptions!$F$23,2)</f>
        <v>617.5</v>
      </c>
      <c r="H6" s="7">
        <f>Assumptions!$F$24</f>
        <v>560</v>
      </c>
      <c r="I6" s="7">
        <f>$F6+$G6+$H6</f>
        <v>7677.5</v>
      </c>
      <c r="J6" s="6">
        <f>IF($D6="",0,IF(YEAR($D6)&lt;2026,12,13-MONTH($D6)))</f>
        <v>12</v>
      </c>
      <c r="K6" s="7">
        <f>$I6*$J6</f>
        <v>92130.0</v>
      </c>
    </row>
    <row r="7" spans="2:12">
      <c r="B7" s="3" t="s">
        <v>81</v>
      </c>
      <c r="C7" s="3" t="s">
        <v>82</v>
      </c>
      <c r="D7" s="10">
        <v>45323</v>
      </c>
      <c r="E7" s="4">
        <v>66000</v>
      </c>
      <c r="F7" s="7">
        <f>$E7/12</f>
        <v>5500.0</v>
      </c>
      <c r="G7" s="7">
        <f>ROUND($F7*Assumptions!$F$23,2)</f>
        <v>522.5</v>
      </c>
      <c r="H7" s="7">
        <f>Assumptions!$F$24</f>
        <v>560</v>
      </c>
      <c r="I7" s="7">
        <f>$F7+$G7+$H7</f>
        <v>6582.5</v>
      </c>
      <c r="J7" s="6">
        <f>IF($D7="",0,IF(YEAR($D7)&lt;2026,12,13-MONTH($D7)))</f>
        <v>12</v>
      </c>
      <c r="K7" s="7">
        <f>$I7*$J7</f>
        <v>78990.0</v>
      </c>
    </row>
    <row r="8" spans="2:12">
      <c r="B8" s="3" t="s">
        <v>83</v>
      </c>
      <c r="C8" s="3" t="s">
        <v>84</v>
      </c>
      <c r="D8" s="10">
        <v>45170</v>
      </c>
      <c r="E8" s="4">
        <v>57600</v>
      </c>
      <c r="F8" s="7">
        <f>$E8/12</f>
        <v>4800.0</v>
      </c>
      <c r="G8" s="7">
        <f>ROUND($F8*Assumptions!$F$23,2)</f>
        <v>456.0</v>
      </c>
      <c r="H8" s="7">
        <f>Assumptions!$F$24</f>
        <v>560</v>
      </c>
      <c r="I8" s="7">
        <f>$F8+$G8+$H8</f>
        <v>5816.0</v>
      </c>
      <c r="J8" s="6">
        <f>IF($D8="",0,IF(YEAR($D8)&lt;2026,12,13-MONTH($D8)))</f>
        <v>12</v>
      </c>
      <c r="K8" s="7">
        <f>$I8*$J8</f>
        <v>69792.0</v>
      </c>
    </row>
    <row r="9" spans="2:12">
      <c r="B9" s="3" t="s">
        <v>85</v>
      </c>
      <c r="C9" s="3" t="s">
        <v>86</v>
      </c>
      <c r="D9" s="10">
        <v>46204</v>
      </c>
      <c r="E9" s="4">
        <v>48000</v>
      </c>
      <c r="F9" s="7">
        <f>$E9/12</f>
        <v>4000.0</v>
      </c>
      <c r="G9" s="7">
        <f>ROUND($F9*Assumptions!$F$23,2)</f>
        <v>380.0</v>
      </c>
      <c r="H9" s="7">
        <f>Assumptions!$F$24</f>
        <v>560</v>
      </c>
      <c r="I9" s="7">
        <f>$F9+$G9+$H9</f>
        <v>4940.0</v>
      </c>
      <c r="J9" s="6">
        <f>IF($D9="",0,IF(YEAR($D9)&lt;2026,12,13-MONTH($D9)))</f>
        <v>6</v>
      </c>
      <c r="K9" s="7">
        <f>$I9*$J9</f>
        <v>29640.0</v>
      </c>
    </row>
    <row r="10" spans="2:12">
      <c r="B10" s="11" t="s">
        <v>87</v>
      </c>
      <c r="E10" s="12">
        <f>SUM($E$5:$E$9)</f>
        <v>351600.0</v>
      </c>
      <c r="F10" s="12">
        <f>SUM($F$5:$F$9)</f>
        <v>29300.0</v>
      </c>
      <c r="G10" s="12">
        <f>SUM($G$5:$G$9)</f>
        <v>2783.5</v>
      </c>
      <c r="H10" s="12">
        <f>SUM($H$5:$H$9)</f>
        <v>2800.0</v>
      </c>
      <c r="I10" s="12">
        <f>SUM($I$5:$I$9)</f>
        <v>34883.5</v>
      </c>
      <c r="J10" s="13">
        <f>SUM($J$5:$J$9)</f>
        <v>54</v>
      </c>
      <c r="K10" s="12">
        <f>SUM($K$5:$K$9)</f>
        <v>388962.0</v>
      </c>
    </row>
  </sheetData>
  <mergeCells count="1">
    <mergeCell ref="B2:L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P19"/>
  <sheetViews>
    <sheetView workbookViewId="0">
      <pane ySplit="4" topLeftCell="A5" activePane="bottomLeft" state="frozen"/>
      <selection pane="bottomLeft"/>
    </sheetView>
  </sheetViews>
  <sheetFormatPr defaultRowHeight="15"/>
  <cols>
    <col min="2" max="2" width="34.7109375" customWidth="1"/>
    <col min="3" max="14" width="12.7109375" customWidth="1"/>
    <col min="15" max="15" width="13.7109375" customWidth="1"/>
  </cols>
  <sheetData>
    <row r="2" spans="2:16">
      <c r="B2" s="1" t="s">
        <v>88</v>
      </c>
      <c r="C2" s="1"/>
      <c r="D2" s="1"/>
      <c r="E2" s="1"/>
      <c r="F2" s="1"/>
      <c r="G2" s="1"/>
      <c r="H2" s="1"/>
      <c r="I2" s="1"/>
      <c r="J2" s="1"/>
      <c r="K2" s="1"/>
      <c r="L2" s="1"/>
      <c r="M2" s="1"/>
      <c r="N2" s="1"/>
      <c r="O2" s="1"/>
      <c r="P2" s="1"/>
    </row>
    <row r="4" spans="2:16" ht="28" customHeight="1">
      <c r="B4" s="2" t="s">
        <v>89</v>
      </c>
      <c r="C4" s="14">
        <v>46023</v>
      </c>
      <c r="D4" s="14">
        <v>46054</v>
      </c>
      <c r="E4" s="14">
        <v>46082</v>
      </c>
      <c r="F4" s="14">
        <v>46113</v>
      </c>
      <c r="G4" s="14">
        <v>46143</v>
      </c>
      <c r="H4" s="14">
        <v>46174</v>
      </c>
      <c r="I4" s="14">
        <v>46204</v>
      </c>
      <c r="J4" s="14">
        <v>46235</v>
      </c>
      <c r="K4" s="14">
        <v>46266</v>
      </c>
      <c r="L4" s="14">
        <v>46296</v>
      </c>
      <c r="M4" s="14">
        <v>46327</v>
      </c>
      <c r="N4" s="14">
        <v>46357</v>
      </c>
      <c r="O4" s="2" t="s">
        <v>90</v>
      </c>
    </row>
    <row r="5" spans="2:16">
      <c r="B5" s="15" t="s">
        <v>91</v>
      </c>
    </row>
    <row r="6" spans="2:16">
      <c r="B6" s="3" t="s">
        <v>92</v>
      </c>
      <c r="C6" s="8">
        <v>0.85</v>
      </c>
      <c r="D6" s="8">
        <v>0.9</v>
      </c>
      <c r="E6" s="8">
        <v>1.05</v>
      </c>
      <c r="F6" s="8">
        <v>1.1</v>
      </c>
      <c r="G6" s="8">
        <v>1.1</v>
      </c>
      <c r="H6" s="8">
        <v>0.95</v>
      </c>
      <c r="I6" s="8">
        <v>0.8</v>
      </c>
      <c r="J6" s="8">
        <v>0.85</v>
      </c>
      <c r="K6" s="8">
        <v>1.05</v>
      </c>
      <c r="L6" s="8">
        <v>1.1</v>
      </c>
      <c r="M6" s="8">
        <v>1.15</v>
      </c>
      <c r="N6" s="8">
        <v>1.1</v>
      </c>
      <c r="O6" s="9">
        <f>IF(COUNT(C6:N6)=0,0,AVERAGE(C6:N6))</f>
        <v>1.0</v>
      </c>
    </row>
    <row r="7" spans="2:16">
      <c r="B7" s="15" t="s">
        <v>93</v>
      </c>
    </row>
    <row r="8" spans="2:16">
      <c r="B8" s="3" t="s">
        <v>94</v>
      </c>
      <c r="C8" s="7">
        <f>Assumptions!$F$14*Assumptions!$F$15*C6</f>
        <v>16575.0</v>
      </c>
      <c r="D8" s="7">
        <f>Assumptions!$F$14*Assumptions!$F$15*D6</f>
        <v>17550.0</v>
      </c>
      <c r="E8" s="7">
        <f>Assumptions!$F$14*Assumptions!$F$15*E6</f>
        <v>20475.0</v>
      </c>
      <c r="F8" s="7">
        <f>Assumptions!$F$14*Assumptions!$F$15*F6</f>
        <v>21450.0</v>
      </c>
      <c r="G8" s="7">
        <f>Assumptions!$F$14*Assumptions!$F$15*G6</f>
        <v>21450.0</v>
      </c>
      <c r="H8" s="7">
        <f>Assumptions!$F$14*Assumptions!$F$15*H6</f>
        <v>18525.0</v>
      </c>
      <c r="I8" s="7">
        <f>Assumptions!$F$14*Assumptions!$F$15*I6</f>
        <v>15600.0</v>
      </c>
      <c r="J8" s="7">
        <f>Assumptions!$F$14*Assumptions!$F$15*J6</f>
        <v>16575.0</v>
      </c>
      <c r="K8" s="7">
        <f>Assumptions!$F$14*Assumptions!$F$15*K6</f>
        <v>20475.0</v>
      </c>
      <c r="L8" s="7">
        <f>Assumptions!$F$14*Assumptions!$F$15*L6</f>
        <v>21450.0</v>
      </c>
      <c r="M8" s="7">
        <f>Assumptions!$F$14*Assumptions!$F$15*M6</f>
        <v>22425.0</v>
      </c>
      <c r="N8" s="7">
        <f>Assumptions!$F$14*Assumptions!$F$15*N6</f>
        <v>21450.0</v>
      </c>
      <c r="O8" s="7">
        <f>SUM(C8:N8)</f>
        <v>234000.0</v>
      </c>
    </row>
    <row r="9" spans="2:16">
      <c r="B9" s="3" t="s">
        <v>95</v>
      </c>
      <c r="C9" s="7">
        <f>Assumptions!$F$16*Assumptions!$F$17*C6</f>
        <v>32300.0</v>
      </c>
      <c r="D9" s="7">
        <f>Assumptions!$F$16*Assumptions!$F$17*D6</f>
        <v>34200.0</v>
      </c>
      <c r="E9" s="7">
        <f>Assumptions!$F$16*Assumptions!$F$17*E6</f>
        <v>39900.0</v>
      </c>
      <c r="F9" s="7">
        <f>Assumptions!$F$16*Assumptions!$F$17*F6</f>
        <v>41800.0</v>
      </c>
      <c r="G9" s="7">
        <f>Assumptions!$F$16*Assumptions!$F$17*G6</f>
        <v>41800.0</v>
      </c>
      <c r="H9" s="7">
        <f>Assumptions!$F$16*Assumptions!$F$17*H6</f>
        <v>36100.0</v>
      </c>
      <c r="I9" s="7">
        <f>Assumptions!$F$16*Assumptions!$F$17*I6</f>
        <v>30400.0</v>
      </c>
      <c r="J9" s="7">
        <f>Assumptions!$F$16*Assumptions!$F$17*J6</f>
        <v>32300.0</v>
      </c>
      <c r="K9" s="7">
        <f>Assumptions!$F$16*Assumptions!$F$17*K6</f>
        <v>39900.0</v>
      </c>
      <c r="L9" s="7">
        <f>Assumptions!$F$16*Assumptions!$F$17*L6</f>
        <v>41800.0</v>
      </c>
      <c r="M9" s="7">
        <f>Assumptions!$F$16*Assumptions!$F$17*M6</f>
        <v>43700.0</v>
      </c>
      <c r="N9" s="7">
        <f>Assumptions!$F$16*Assumptions!$F$17*N6</f>
        <v>41800.0</v>
      </c>
      <c r="O9" s="7">
        <f>SUM(C9:N9)</f>
        <v>456000.0</v>
      </c>
    </row>
    <row r="10" spans="2:16">
      <c r="B10" s="3" t="s">
        <v>96</v>
      </c>
      <c r="C10" s="7">
        <f>C8+C9</f>
        <v>48875.0</v>
      </c>
      <c r="D10" s="7">
        <f>D8+D9</f>
        <v>51750.0</v>
      </c>
      <c r="E10" s="7">
        <f>E8+E9</f>
        <v>60375.0</v>
      </c>
      <c r="F10" s="7">
        <f>F8+F9</f>
        <v>63250.0</v>
      </c>
      <c r="G10" s="7">
        <f>G8+G9</f>
        <v>63250.0</v>
      </c>
      <c r="H10" s="7">
        <f>H8+H9</f>
        <v>54625.0</v>
      </c>
      <c r="I10" s="7">
        <f>I8+I9</f>
        <v>46000.0</v>
      </c>
      <c r="J10" s="7">
        <f>J8+J9</f>
        <v>48875.0</v>
      </c>
      <c r="K10" s="7">
        <f>K8+K9</f>
        <v>60375.0</v>
      </c>
      <c r="L10" s="7">
        <f>L8+L9</f>
        <v>63250.0</v>
      </c>
      <c r="M10" s="7">
        <f>M8+M9</f>
        <v>66125.0</v>
      </c>
      <c r="N10" s="7">
        <f>N8+N9</f>
        <v>63250.0</v>
      </c>
      <c r="O10" s="7">
        <f>SUM(C10:N10)</f>
        <v>690000.0</v>
      </c>
    </row>
    <row r="11" spans="2:16">
      <c r="B11" s="15" t="s">
        <v>97</v>
      </c>
    </row>
    <row r="12" spans="2:16">
      <c r="B12" s="3" t="s">
        <v>98</v>
      </c>
      <c r="C12" s="7">
        <f>(1-Assumptions!$F$19)*Assumptions!$C$9+(1-Assumptions!$F$19-Assumptions!$F$20)*Assumptions!$C$8</f>
        <v>47025.0</v>
      </c>
      <c r="D12" s="7">
        <f>C15</f>
        <v>38775.0</v>
      </c>
      <c r="E12" s="7">
        <f>D15</f>
        <v>38381.25</v>
      </c>
      <c r="F12" s="7">
        <f>E15</f>
        <v>43987.5</v>
      </c>
      <c r="G12" s="7">
        <f>F15</f>
        <v>47006.25</v>
      </c>
      <c r="H12" s="7">
        <f>G15</f>
        <v>47437.5</v>
      </c>
      <c r="I12" s="7">
        <f>H15</f>
        <v>42262.5</v>
      </c>
      <c r="J12" s="7">
        <f>I15</f>
        <v>35793.75</v>
      </c>
      <c r="K12" s="7">
        <f>J15</f>
        <v>36225.0</v>
      </c>
      <c r="L12" s="7">
        <f>K15</f>
        <v>43556.25</v>
      </c>
      <c r="M12" s="7">
        <f>L15</f>
        <v>47006.25</v>
      </c>
      <c r="N12" s="7">
        <f>M15</f>
        <v>49162.5</v>
      </c>
      <c r="O12" s="7">
        <f>C12</f>
        <v>47025.0</v>
      </c>
    </row>
    <row r="13" spans="2:16">
      <c r="B13" s="3" t="s">
        <v>99</v>
      </c>
      <c r="C13" s="7">
        <f>C10</f>
        <v>48875.0</v>
      </c>
      <c r="D13" s="7">
        <f>D10</f>
        <v>51750.0</v>
      </c>
      <c r="E13" s="7">
        <f>E10</f>
        <v>60375.0</v>
      </c>
      <c r="F13" s="7">
        <f>F10</f>
        <v>63250.0</v>
      </c>
      <c r="G13" s="7">
        <f>G10</f>
        <v>63250.0</v>
      </c>
      <c r="H13" s="7">
        <f>H10</f>
        <v>54625.0</v>
      </c>
      <c r="I13" s="7">
        <f>I10</f>
        <v>46000.0</v>
      </c>
      <c r="J13" s="7">
        <f>J10</f>
        <v>48875.0</v>
      </c>
      <c r="K13" s="7">
        <f>K10</f>
        <v>60375.0</v>
      </c>
      <c r="L13" s="7">
        <f>L10</f>
        <v>63250.0</v>
      </c>
      <c r="M13" s="7">
        <f>M10</f>
        <v>66125.0</v>
      </c>
      <c r="N13" s="7">
        <f>N10</f>
        <v>63250.0</v>
      </c>
      <c r="O13" s="7">
        <f>SUM(C13:N13)</f>
        <v>690000.0</v>
      </c>
    </row>
    <row r="14" spans="2:16">
      <c r="B14" s="3" t="s">
        <v>100</v>
      </c>
      <c r="C14" s="7">
        <f>C17+C18+C19</f>
        <v>57125.0</v>
      </c>
      <c r="D14" s="7">
        <f>D17+D18+D19</f>
        <v>52143.75</v>
      </c>
      <c r="E14" s="7">
        <f>E17+E18+E19</f>
        <v>54768.75</v>
      </c>
      <c r="F14" s="7">
        <f>F17+F18+F19</f>
        <v>60231.25</v>
      </c>
      <c r="G14" s="7">
        <f>G17+G18+G19</f>
        <v>62818.75</v>
      </c>
      <c r="H14" s="7">
        <f>H17+H18+H19</f>
        <v>59800.0</v>
      </c>
      <c r="I14" s="7">
        <f>I17+I18+I19</f>
        <v>52468.75</v>
      </c>
      <c r="J14" s="7">
        <f>J17+J18+J19</f>
        <v>48443.75</v>
      </c>
      <c r="K14" s="7">
        <f>K17+K18+K19</f>
        <v>53043.75</v>
      </c>
      <c r="L14" s="7">
        <f>L17+L18+L19</f>
        <v>59800.0</v>
      </c>
      <c r="M14" s="7">
        <f>M17+M18+M19</f>
        <v>63968.75</v>
      </c>
      <c r="N14" s="7">
        <f>N17+N18+N19</f>
        <v>64543.75</v>
      </c>
      <c r="O14" s="7">
        <f>SUM(C14:N14)</f>
        <v>689156.25</v>
      </c>
    </row>
    <row r="15" spans="2:16">
      <c r="B15" s="3" t="s">
        <v>101</v>
      </c>
      <c r="C15" s="7">
        <f>C12+C13-C14</f>
        <v>38775.0</v>
      </c>
      <c r="D15" s="7">
        <f>D12+D13-D14</f>
        <v>38381.25</v>
      </c>
      <c r="E15" s="7">
        <f>E12+E13-E14</f>
        <v>43987.5</v>
      </c>
      <c r="F15" s="7">
        <f>F12+F13-F14</f>
        <v>47006.25</v>
      </c>
      <c r="G15" s="7">
        <f>G12+G13-G14</f>
        <v>47437.5</v>
      </c>
      <c r="H15" s="7">
        <f>H12+H13-H14</f>
        <v>42262.5</v>
      </c>
      <c r="I15" s="7">
        <f>I12+I13-I14</f>
        <v>35793.75</v>
      </c>
      <c r="J15" s="7">
        <f>J12+J13-J14</f>
        <v>36225.0</v>
      </c>
      <c r="K15" s="7">
        <f>K12+K13-K14</f>
        <v>43556.25</v>
      </c>
      <c r="L15" s="7">
        <f>L12+L13-L14</f>
        <v>47006.25</v>
      </c>
      <c r="M15" s="7">
        <f>M12+M13-M14</f>
        <v>49162.5</v>
      </c>
      <c r="N15" s="7">
        <f>N12+N13-N14</f>
        <v>47868.75</v>
      </c>
      <c r="O15" s="7">
        <f>N15</f>
        <v>47868.75</v>
      </c>
    </row>
    <row r="16" spans="2:16">
      <c r="B16" s="15" t="s">
        <v>102</v>
      </c>
    </row>
    <row r="17" spans="2:15">
      <c r="B17" s="3" t="s">
        <v>103</v>
      </c>
      <c r="C17" s="7">
        <f>Assumptions!$F$19*C13</f>
        <v>19550.0</v>
      </c>
      <c r="D17" s="7">
        <f>Assumptions!$F$19*D13</f>
        <v>20700.0</v>
      </c>
      <c r="E17" s="7">
        <f>Assumptions!$F$19*E13</f>
        <v>24150.0</v>
      </c>
      <c r="F17" s="7">
        <f>Assumptions!$F$19*F13</f>
        <v>25300.0</v>
      </c>
      <c r="G17" s="7">
        <f>Assumptions!$F$19*G13</f>
        <v>25300.0</v>
      </c>
      <c r="H17" s="7">
        <f>Assumptions!$F$19*H13</f>
        <v>21850.0</v>
      </c>
      <c r="I17" s="7">
        <f>Assumptions!$F$19*I13</f>
        <v>18400.0</v>
      </c>
      <c r="J17" s="7">
        <f>Assumptions!$F$19*J13</f>
        <v>19550.0</v>
      </c>
      <c r="K17" s="7">
        <f>Assumptions!$F$19*K13</f>
        <v>24150.0</v>
      </c>
      <c r="L17" s="7">
        <f>Assumptions!$F$19*L13</f>
        <v>25300.0</v>
      </c>
      <c r="M17" s="7">
        <f>Assumptions!$F$19*M13</f>
        <v>26450.0</v>
      </c>
      <c r="N17" s="7">
        <f>Assumptions!$F$19*N13</f>
        <v>25300.0</v>
      </c>
      <c r="O17" s="7">
        <f>SUM(C17:N17)</f>
        <v>276000.0</v>
      </c>
    </row>
    <row r="18" spans="2:15">
      <c r="B18" s="3" t="s">
        <v>104</v>
      </c>
      <c r="C18" s="7">
        <f>Assumptions!$F$20*Assumptions!$C$9</f>
        <v>28350.0</v>
      </c>
      <c r="D18" s="7">
        <f>Assumptions!$F$20*C13</f>
        <v>21993.75</v>
      </c>
      <c r="E18" s="7">
        <f>Assumptions!$F$20*D13</f>
        <v>23287.5</v>
      </c>
      <c r="F18" s="7">
        <f>Assumptions!$F$20*E13</f>
        <v>27168.75</v>
      </c>
      <c r="G18" s="7">
        <f>Assumptions!$F$20*F13</f>
        <v>28462.5</v>
      </c>
      <c r="H18" s="7">
        <f>Assumptions!$F$20*G13</f>
        <v>28462.5</v>
      </c>
      <c r="I18" s="7">
        <f>Assumptions!$F$20*H13</f>
        <v>24581.25</v>
      </c>
      <c r="J18" s="7">
        <f>Assumptions!$F$20*I13</f>
        <v>20700.0</v>
      </c>
      <c r="K18" s="7">
        <f>Assumptions!$F$20*J13</f>
        <v>21993.75</v>
      </c>
      <c r="L18" s="7">
        <f>Assumptions!$F$20*K13</f>
        <v>27168.75</v>
      </c>
      <c r="M18" s="7">
        <f>Assumptions!$F$20*L13</f>
        <v>28462.5</v>
      </c>
      <c r="N18" s="7">
        <f>Assumptions!$F$20*M13</f>
        <v>29756.25</v>
      </c>
      <c r="O18" s="7">
        <f>SUM(C18:N18)</f>
        <v>310387.5</v>
      </c>
    </row>
    <row r="19" spans="2:15">
      <c r="B19" s="3" t="s">
        <v>105</v>
      </c>
      <c r="C19" s="7">
        <f>Assumptions!$F$21*Assumptions!$C$8</f>
        <v>9225.0</v>
      </c>
      <c r="D19" s="7">
        <f>Assumptions!$F$21*Assumptions!$C$9</f>
        <v>9450.0</v>
      </c>
      <c r="E19" s="7">
        <f>Assumptions!$F$21*C13</f>
        <v>7331.25</v>
      </c>
      <c r="F19" s="7">
        <f>Assumptions!$F$21*D13</f>
        <v>7762.5</v>
      </c>
      <c r="G19" s="7">
        <f>Assumptions!$F$21*E13</f>
        <v>9056.25</v>
      </c>
      <c r="H19" s="7">
        <f>Assumptions!$F$21*F13</f>
        <v>9487.5</v>
      </c>
      <c r="I19" s="7">
        <f>Assumptions!$F$21*G13</f>
        <v>9487.5</v>
      </c>
      <c r="J19" s="7">
        <f>Assumptions!$F$21*H13</f>
        <v>8193.75</v>
      </c>
      <c r="K19" s="7">
        <f>Assumptions!$F$21*I13</f>
        <v>6900.0</v>
      </c>
      <c r="L19" s="7">
        <f>Assumptions!$F$21*J13</f>
        <v>7331.25</v>
      </c>
      <c r="M19" s="7">
        <f>Assumptions!$F$21*K13</f>
        <v>9056.25</v>
      </c>
      <c r="N19" s="7">
        <f>Assumptions!$F$21*L13</f>
        <v>9487.5</v>
      </c>
      <c r="O19" s="7">
        <f>SUM(C19:N19)</f>
        <v>102768.75</v>
      </c>
    </row>
  </sheetData>
  <mergeCells count="1">
    <mergeCell ref="B2:P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2:P15"/>
  <sheetViews>
    <sheetView workbookViewId="0">
      <pane ySplit="4" topLeftCell="A5" activePane="bottomLeft" state="frozen"/>
      <selection pane="bottomLeft"/>
    </sheetView>
  </sheetViews>
  <sheetFormatPr defaultRowHeight="15"/>
  <cols>
    <col min="2" max="2" width="34.7109375" customWidth="1"/>
    <col min="3" max="14" width="12.7109375" customWidth="1"/>
    <col min="15" max="15" width="13.7109375" customWidth="1"/>
  </cols>
  <sheetData>
    <row r="2" spans="2:16">
      <c r="B2" s="1" t="s">
        <v>106</v>
      </c>
      <c r="C2" s="1"/>
      <c r="D2" s="1"/>
      <c r="E2" s="1"/>
      <c r="F2" s="1"/>
      <c r="G2" s="1"/>
      <c r="H2" s="1"/>
      <c r="I2" s="1"/>
      <c r="J2" s="1"/>
      <c r="K2" s="1"/>
      <c r="L2" s="1"/>
      <c r="M2" s="1"/>
      <c r="N2" s="1"/>
      <c r="O2" s="1"/>
      <c r="P2" s="1"/>
    </row>
    <row r="4" spans="2:16" ht="28" customHeight="1">
      <c r="B4" s="2" t="s">
        <v>89</v>
      </c>
      <c r="C4" s="14">
        <v>46023</v>
      </c>
      <c r="D4" s="14">
        <v>46054</v>
      </c>
      <c r="E4" s="14">
        <v>46082</v>
      </c>
      <c r="F4" s="14">
        <v>46113</v>
      </c>
      <c r="G4" s="14">
        <v>46143</v>
      </c>
      <c r="H4" s="14">
        <v>46174</v>
      </c>
      <c r="I4" s="14">
        <v>46204</v>
      </c>
      <c r="J4" s="14">
        <v>46235</v>
      </c>
      <c r="K4" s="14">
        <v>46266</v>
      </c>
      <c r="L4" s="14">
        <v>46296</v>
      </c>
      <c r="M4" s="14">
        <v>46327</v>
      </c>
      <c r="N4" s="14">
        <v>46357</v>
      </c>
      <c r="O4" s="2" t="s">
        <v>90</v>
      </c>
    </row>
    <row r="5" spans="2:16">
      <c r="B5" s="15" t="s">
        <v>107</v>
      </c>
    </row>
    <row r="6" spans="2:16">
      <c r="B6" s="3" t="s">
        <v>108</v>
      </c>
      <c r="C6" s="7">
        <f>Assumptions!$F$18*'Revenue Plan'!C9</f>
        <v>8075.0</v>
      </c>
      <c r="D6" s="7">
        <f>Assumptions!$F$18*'Revenue Plan'!D9</f>
        <v>8550.0</v>
      </c>
      <c r="E6" s="7">
        <f>Assumptions!$F$18*'Revenue Plan'!E9</f>
        <v>9975.0</v>
      </c>
      <c r="F6" s="7">
        <f>Assumptions!$F$18*'Revenue Plan'!F9</f>
        <v>10450.0</v>
      </c>
      <c r="G6" s="7">
        <f>Assumptions!$F$18*'Revenue Plan'!G9</f>
        <v>10450.0</v>
      </c>
      <c r="H6" s="7">
        <f>Assumptions!$F$18*'Revenue Plan'!H9</f>
        <v>9025.0</v>
      </c>
      <c r="I6" s="7">
        <f>Assumptions!$F$18*'Revenue Plan'!I9</f>
        <v>7600.0</v>
      </c>
      <c r="J6" s="7">
        <f>Assumptions!$F$18*'Revenue Plan'!J9</f>
        <v>8075.0</v>
      </c>
      <c r="K6" s="7">
        <f>Assumptions!$F$18*'Revenue Plan'!K9</f>
        <v>9975.0</v>
      </c>
      <c r="L6" s="7">
        <f>Assumptions!$F$18*'Revenue Plan'!L9</f>
        <v>10450.0</v>
      </c>
      <c r="M6" s="7">
        <f>Assumptions!$F$18*'Revenue Plan'!M9</f>
        <v>10925.0</v>
      </c>
      <c r="N6" s="7">
        <f>Assumptions!$F$18*'Revenue Plan'!N9</f>
        <v>10450.0</v>
      </c>
      <c r="O6" s="7">
        <f>SUM(C6:N6)</f>
        <v>114000.0</v>
      </c>
    </row>
    <row r="7" spans="2:16">
      <c r="B7" s="15" t="s">
        <v>109</v>
      </c>
    </row>
    <row r="8" spans="2:16">
      <c r="B8" s="3" t="s">
        <v>110</v>
      </c>
      <c r="C8" s="4">
        <v>3900</v>
      </c>
      <c r="D8" s="4">
        <v>3900</v>
      </c>
      <c r="E8" s="4">
        <v>3900</v>
      </c>
      <c r="F8" s="4">
        <v>3900</v>
      </c>
      <c r="G8" s="4">
        <v>3900</v>
      </c>
      <c r="H8" s="4">
        <v>3900</v>
      </c>
      <c r="I8" s="4">
        <v>3900</v>
      </c>
      <c r="J8" s="4">
        <v>3900</v>
      </c>
      <c r="K8" s="4">
        <v>3900</v>
      </c>
      <c r="L8" s="4">
        <v>3900</v>
      </c>
      <c r="M8" s="4">
        <v>3900</v>
      </c>
      <c r="N8" s="4">
        <v>3900</v>
      </c>
      <c r="O8" s="7">
        <f>SUM(C8:N8)</f>
        <v>46800.0</v>
      </c>
    </row>
    <row r="9" spans="2:16">
      <c r="B9" s="3" t="s">
        <v>111</v>
      </c>
      <c r="C9" s="4">
        <v>1400</v>
      </c>
      <c r="D9" s="4">
        <v>1400</v>
      </c>
      <c r="E9" s="4">
        <v>1400</v>
      </c>
      <c r="F9" s="4">
        <v>1400</v>
      </c>
      <c r="G9" s="4">
        <v>1400</v>
      </c>
      <c r="H9" s="4">
        <v>1400</v>
      </c>
      <c r="I9" s="4">
        <v>1750</v>
      </c>
      <c r="J9" s="4">
        <v>1750</v>
      </c>
      <c r="K9" s="4">
        <v>1750</v>
      </c>
      <c r="L9" s="4">
        <v>1750</v>
      </c>
      <c r="M9" s="4">
        <v>1750</v>
      </c>
      <c r="N9" s="4">
        <v>1750</v>
      </c>
      <c r="O9" s="7">
        <f>SUM(C9:N9)</f>
        <v>18900.0</v>
      </c>
    </row>
    <row r="10" spans="2:16">
      <c r="B10" s="3" t="s">
        <v>112</v>
      </c>
      <c r="C10" s="4">
        <v>2000</v>
      </c>
      <c r="D10" s="4">
        <v>2000</v>
      </c>
      <c r="E10" s="4">
        <v>3200</v>
      </c>
      <c r="F10" s="4">
        <v>2000</v>
      </c>
      <c r="G10" s="4">
        <v>2000</v>
      </c>
      <c r="H10" s="4">
        <v>2000</v>
      </c>
      <c r="I10" s="4">
        <v>2000</v>
      </c>
      <c r="J10" s="4">
        <v>2000</v>
      </c>
      <c r="K10" s="4">
        <v>2000</v>
      </c>
      <c r="L10" s="4">
        <v>3500</v>
      </c>
      <c r="M10" s="4">
        <v>3500</v>
      </c>
      <c r="N10" s="4">
        <v>2000</v>
      </c>
      <c r="O10" s="7">
        <f>SUM(C10:N10)</f>
        <v>28200.0</v>
      </c>
    </row>
    <row r="11" spans="2:16">
      <c r="B11" s="3" t="s">
        <v>113</v>
      </c>
      <c r="C11" s="4">
        <v>900</v>
      </c>
      <c r="D11" s="4">
        <v>900</v>
      </c>
      <c r="E11" s="4">
        <v>4500</v>
      </c>
      <c r="F11" s="4">
        <v>900</v>
      </c>
      <c r="G11" s="4">
        <v>900</v>
      </c>
      <c r="H11" s="4">
        <v>900</v>
      </c>
      <c r="I11" s="4">
        <v>900</v>
      </c>
      <c r="J11" s="4">
        <v>900</v>
      </c>
      <c r="K11" s="4">
        <v>900</v>
      </c>
      <c r="L11" s="4">
        <v>900</v>
      </c>
      <c r="M11" s="4">
        <v>900</v>
      </c>
      <c r="N11" s="4">
        <v>900</v>
      </c>
      <c r="O11" s="7">
        <f>SUM(C11:N11)</f>
        <v>14400.0</v>
      </c>
    </row>
    <row r="12" spans="2:16">
      <c r="B12" s="3" t="s">
        <v>114</v>
      </c>
      <c r="C12" s="4">
        <v>700</v>
      </c>
      <c r="D12" s="4">
        <v>700</v>
      </c>
      <c r="E12" s="4">
        <v>3800</v>
      </c>
      <c r="F12" s="4">
        <v>700</v>
      </c>
      <c r="G12" s="4">
        <v>700</v>
      </c>
      <c r="H12" s="4">
        <v>700</v>
      </c>
      <c r="I12" s="4">
        <v>700</v>
      </c>
      <c r="J12" s="4">
        <v>700</v>
      </c>
      <c r="K12" s="4">
        <v>2400</v>
      </c>
      <c r="L12" s="4">
        <v>700</v>
      </c>
      <c r="M12" s="4">
        <v>700</v>
      </c>
      <c r="N12" s="4">
        <v>700</v>
      </c>
      <c r="O12" s="7">
        <f>SUM(C12:N12)</f>
        <v>13200.0</v>
      </c>
    </row>
    <row r="13" spans="2:16">
      <c r="B13" s="11" t="s">
        <v>115</v>
      </c>
      <c r="C13" s="12">
        <f>C6+SUM(C8:C12)</f>
        <v>16975.0</v>
      </c>
      <c r="D13" s="12">
        <f>D6+SUM(D8:D12)</f>
        <v>17450.0</v>
      </c>
      <c r="E13" s="12">
        <f>E6+SUM(E8:E12)</f>
        <v>26775.0</v>
      </c>
      <c r="F13" s="12">
        <f>F6+SUM(F8:F12)</f>
        <v>19350.0</v>
      </c>
      <c r="G13" s="12">
        <f>G6+SUM(G8:G12)</f>
        <v>19350.0</v>
      </c>
      <c r="H13" s="12">
        <f>H6+SUM(H8:H12)</f>
        <v>17925.0</v>
      </c>
      <c r="I13" s="12">
        <f>I6+SUM(I8:I12)</f>
        <v>16850.0</v>
      </c>
      <c r="J13" s="12">
        <f>J6+SUM(J8:J12)</f>
        <v>17325.0</v>
      </c>
      <c r="K13" s="12">
        <f>K6+SUM(K8:K12)</f>
        <v>20925.0</v>
      </c>
      <c r="L13" s="12">
        <f>L6+SUM(L8:L12)</f>
        <v>21200.0</v>
      </c>
      <c r="M13" s="12">
        <f>M6+SUM(M8:M12)</f>
        <v>21675.0</v>
      </c>
      <c r="N13" s="12">
        <f>N6+SUM(N8:N12)</f>
        <v>19700.0</v>
      </c>
      <c r="O13" s="12">
        <f>SUM(C13:N13)</f>
        <v>235500.0</v>
      </c>
    </row>
    <row r="14" spans="2:16">
      <c r="B14" s="15" t="s">
        <v>116</v>
      </c>
    </row>
    <row r="15" spans="2:16">
      <c r="B15" s="3" t="s">
        <v>117</v>
      </c>
      <c r="C15" s="7">
        <f>C6+C10+C11+C12</f>
        <v>11675.0</v>
      </c>
      <c r="D15" s="7">
        <f>D6+D10+D11+D12</f>
        <v>12150.0</v>
      </c>
      <c r="E15" s="7">
        <f>E6+E10+E11+E12</f>
        <v>21475.0</v>
      </c>
      <c r="F15" s="7">
        <f>F6+F10+F11+F12</f>
        <v>14050.0</v>
      </c>
      <c r="G15" s="7">
        <f>G6+G10+G11+G12</f>
        <v>14050.0</v>
      </c>
      <c r="H15" s="7">
        <f>H6+H10+H11+H12</f>
        <v>12625.0</v>
      </c>
      <c r="I15" s="7">
        <f>I6+I10+I11+I12</f>
        <v>11200.0</v>
      </c>
      <c r="J15" s="7">
        <f>J6+J10+J11+J12</f>
        <v>11675.0</v>
      </c>
      <c r="K15" s="7">
        <f>K6+K10+K11+K12</f>
        <v>15275.0</v>
      </c>
      <c r="L15" s="7">
        <f>L6+L10+L11+L12</f>
        <v>15550.0</v>
      </c>
      <c r="M15" s="7">
        <f>M6+M10+M11+M12</f>
        <v>16025.0</v>
      </c>
      <c r="N15" s="7">
        <f>N6+N10+N11+N12</f>
        <v>14050.0</v>
      </c>
      <c r="O15" s="7">
        <f>SUM(C15:N15)</f>
        <v>169800.0</v>
      </c>
    </row>
  </sheetData>
  <mergeCells count="1">
    <mergeCell ref="B2:P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2:I52"/>
  <sheetViews>
    <sheetView workbookViewId="0">
      <pane ySplit="4" topLeftCell="A5" activePane="bottomLeft" state="frozen"/>
      <selection pane="bottomLeft"/>
    </sheetView>
  </sheetViews>
  <sheetFormatPr defaultRowHeight="15"/>
  <cols>
    <col min="2" max="2" width="30.7109375" customWidth="1"/>
    <col min="3" max="3" width="15.7109375" customWidth="1"/>
    <col min="4" max="4" width="12.7109375" customWidth="1"/>
    <col min="5" max="5" width="10.7109375" customWidth="1"/>
    <col min="6" max="7" width="14.7109375" customWidth="1"/>
    <col min="8" max="8" width="52.7109375" customWidth="1"/>
  </cols>
  <sheetData>
    <row r="2" spans="2:9">
      <c r="B2" s="1" t="s">
        <v>118</v>
      </c>
      <c r="C2" s="1"/>
      <c r="D2" s="1"/>
      <c r="E2" s="1"/>
      <c r="F2" s="1"/>
      <c r="G2" s="1"/>
      <c r="H2" s="1"/>
      <c r="I2" s="1"/>
    </row>
    <row r="4" spans="2:9" ht="28" customHeight="1">
      <c r="B4" s="2" t="s">
        <v>119</v>
      </c>
      <c r="C4" s="2" t="s">
        <v>120</v>
      </c>
      <c r="D4" s="2" t="s">
        <v>121</v>
      </c>
      <c r="E4" s="2" t="s">
        <v>122</v>
      </c>
      <c r="F4" s="2" t="s">
        <v>123</v>
      </c>
      <c r="G4" s="2" t="s">
        <v>124</v>
      </c>
      <c r="H4" s="2" t="s">
        <v>24</v>
      </c>
    </row>
    <row r="5" spans="2:9">
      <c r="B5" s="3" t="s">
        <v>125</v>
      </c>
      <c r="C5" s="10">
        <v>46027</v>
      </c>
      <c r="D5" s="4">
        <v>8400</v>
      </c>
      <c r="E5" s="5">
        <v>4</v>
      </c>
      <c r="F5" s="7">
        <f>IF($E5="",0,ROUND($D5/($E5*12),2))</f>
        <v>175.0</v>
      </c>
      <c r="G5" s="7">
        <f>IF($C5="",0,IF(YEAR($C5)=2026,$D5,0))</f>
        <v>8400.0</v>
      </c>
      <c r="H5" s="3" t="s">
        <v>126</v>
      </c>
    </row>
    <row r="6" spans="2:9">
      <c r="B6" s="3" t="s">
        <v>127</v>
      </c>
      <c r="C6" s="10">
        <v>46055</v>
      </c>
      <c r="D6" s="4">
        <v>21600</v>
      </c>
      <c r="E6" s="5">
        <v>8</v>
      </c>
      <c r="F6" s="7">
        <f>IF($E6="",0,ROUND($D6/($E6*12),2))</f>
        <v>225.0</v>
      </c>
      <c r="G6" s="7">
        <f>IF($C6="",0,IF(YEAR($C6)=2026,$D6,0))</f>
        <v>21600.0</v>
      </c>
      <c r="H6" s="3" t="s">
        <v>128</v>
      </c>
    </row>
    <row r="7" spans="2:9">
      <c r="B7" s="3" t="s">
        <v>129</v>
      </c>
      <c r="C7" s="10">
        <v>46268</v>
      </c>
      <c r="D7" s="4">
        <v>6300</v>
      </c>
      <c r="E7" s="5">
        <v>3</v>
      </c>
      <c r="F7" s="7">
        <f>IF($E7="",0,ROUND($D7/($E7*12),2))</f>
        <v>175.0</v>
      </c>
      <c r="G7" s="7">
        <f>IF($C7="",0,IF(YEAR($C7)=2026,$D7,0))</f>
        <v>6300.0</v>
      </c>
      <c r="H7" s="3" t="s">
        <v>130</v>
      </c>
    </row>
    <row r="8" spans="2:9">
      <c r="B8" s="3" t="s">
        <v>131</v>
      </c>
      <c r="C8" s="10">
        <v>45366</v>
      </c>
      <c r="D8" s="4">
        <v>14400</v>
      </c>
      <c r="E8" s="5">
        <v>6</v>
      </c>
      <c r="F8" s="7">
        <f>IF($E8="",0,ROUND($D8/($E8*12),2))</f>
        <v>200.0</v>
      </c>
      <c r="G8" s="7">
        <f>IF($C8="",0,IF(YEAR($C8)=2026,$D8,0))</f>
        <v>0.0</v>
      </c>
      <c r="H8" s="3" t="s">
        <v>132</v>
      </c>
    </row>
    <row r="9" spans="2:9">
      <c r="B9" s="11" t="s">
        <v>87</v>
      </c>
      <c r="D9" s="12">
        <f>SUM($D$5:$D$8)</f>
        <v>50700.0</v>
      </c>
      <c r="E9" s="13">
        <f>SUM($E$5:$E$8)</f>
        <v>21</v>
      </c>
      <c r="F9" s="12">
        <f>SUM($F$5:$F$8)</f>
        <v>775.0</v>
      </c>
      <c r="G9" s="12">
        <f>SUM($G$5:$G$8)</f>
        <v>36300.0</v>
      </c>
      <c r="H9" s="11" t="s">
        <v>133</v>
      </c>
    </row>
    <row r="11" spans="2:9">
      <c r="B11" s="15" t="s">
        <v>134</v>
      </c>
    </row>
    <row r="12" spans="2:9">
      <c r="B12" s="3" t="s">
        <v>135</v>
      </c>
      <c r="C12" s="4">
        <v>18000</v>
      </c>
    </row>
    <row r="13" spans="2:9">
      <c r="B13" s="3" t="s">
        <v>136</v>
      </c>
      <c r="C13" s="8">
        <v>0.075</v>
      </c>
    </row>
    <row r="14" spans="2:9">
      <c r="B14" s="3" t="s">
        <v>137</v>
      </c>
      <c r="C14" s="5">
        <v>36</v>
      </c>
    </row>
    <row r="15" spans="2:9">
      <c r="B15" s="3" t="s">
        <v>138</v>
      </c>
      <c r="C15" s="4">
        <v>559.91</v>
      </c>
    </row>
    <row r="16" spans="2:9">
      <c r="B16" s="2" t="s">
        <v>139</v>
      </c>
      <c r="C16" s="2" t="s">
        <v>140</v>
      </c>
      <c r="D16" s="2" t="s">
        <v>141</v>
      </c>
      <c r="E16" s="2" t="s">
        <v>142</v>
      </c>
      <c r="F16" s="2" t="s">
        <v>143</v>
      </c>
      <c r="G16" s="2" t="s">
        <v>144</v>
      </c>
    </row>
    <row r="17" spans="2:7">
      <c r="B17" s="5">
        <v>1</v>
      </c>
      <c r="C17" s="10">
        <v>46083</v>
      </c>
      <c r="D17" s="7">
        <f>$C$15</f>
        <v>559.91</v>
      </c>
      <c r="E17" s="7">
        <f>ROUND($C$12*$C$13/12,2)</f>
        <v>112.5</v>
      </c>
      <c r="F17" s="7">
        <f>$D17-$E17</f>
        <v>447.41</v>
      </c>
      <c r="G17" s="7">
        <f>$C$12-$F17</f>
        <v>17552.59</v>
      </c>
    </row>
    <row r="18" spans="2:7">
      <c r="B18" s="5">
        <v>2</v>
      </c>
      <c r="C18" s="16">
        <f>EOMONTH(C17,0)+2</f>
        <v>46114</v>
      </c>
      <c r="D18" s="7">
        <f>$C$15</f>
        <v>559.91</v>
      </c>
      <c r="E18" s="7">
        <f>ROUND($G17*$C$13/12,2)</f>
        <v>109.7</v>
      </c>
      <c r="F18" s="7">
        <f>$D18-$E18</f>
        <v>450.21</v>
      </c>
      <c r="G18" s="7">
        <f>$G17-$F18</f>
        <v>17102.38</v>
      </c>
    </row>
    <row r="19" spans="2:7">
      <c r="B19" s="5">
        <v>3</v>
      </c>
      <c r="C19" s="16">
        <f>EOMONTH(C18,0)+2</f>
        <v>46144</v>
      </c>
      <c r="D19" s="7">
        <f>$C$15</f>
        <v>559.91</v>
      </c>
      <c r="E19" s="7">
        <f>ROUND($G18*$C$13/12,2)</f>
        <v>106.89</v>
      </c>
      <c r="F19" s="7">
        <f>$D19-$E19</f>
        <v>453.02</v>
      </c>
      <c r="G19" s="7">
        <f>$G18-$F19</f>
        <v>16649.36</v>
      </c>
    </row>
    <row r="20" spans="2:7">
      <c r="B20" s="5">
        <v>4</v>
      </c>
      <c r="C20" s="16">
        <f>EOMONTH(C19,0)+2</f>
        <v>46175</v>
      </c>
      <c r="D20" s="7">
        <f>$C$15</f>
        <v>559.91</v>
      </c>
      <c r="E20" s="7">
        <f>ROUND($G19*$C$13/12,2)</f>
        <v>104.06</v>
      </c>
      <c r="F20" s="7">
        <f>$D20-$E20</f>
        <v>455.85</v>
      </c>
      <c r="G20" s="7">
        <f>$G19-$F20</f>
        <v>16193.51</v>
      </c>
    </row>
    <row r="21" spans="2:7">
      <c r="B21" s="5">
        <v>5</v>
      </c>
      <c r="C21" s="16">
        <f>EOMONTH(C20,0)+2</f>
        <v>46205</v>
      </c>
      <c r="D21" s="7">
        <f>$C$15</f>
        <v>559.91</v>
      </c>
      <c r="E21" s="7">
        <f>ROUND($G20*$C$13/12,2)</f>
        <v>101.21</v>
      </c>
      <c r="F21" s="7">
        <f>$D21-$E21</f>
        <v>458.7</v>
      </c>
      <c r="G21" s="7">
        <f>$G20-$F21</f>
        <v>15734.81</v>
      </c>
    </row>
    <row r="22" spans="2:7">
      <c r="B22" s="5">
        <v>6</v>
      </c>
      <c r="C22" s="16">
        <f>EOMONTH(C21,0)+2</f>
        <v>46236</v>
      </c>
      <c r="D22" s="7">
        <f>$C$15</f>
        <v>559.91</v>
      </c>
      <c r="E22" s="7">
        <f>ROUND($G21*$C$13/12,2)</f>
        <v>98.34</v>
      </c>
      <c r="F22" s="7">
        <f>$D22-$E22</f>
        <v>461.57</v>
      </c>
      <c r="G22" s="7">
        <f>$G21-$F22</f>
        <v>15273.24</v>
      </c>
    </row>
    <row r="23" spans="2:7">
      <c r="B23" s="5">
        <v>7</v>
      </c>
      <c r="C23" s="16">
        <f>EOMONTH(C22,0)+2</f>
        <v>46267</v>
      </c>
      <c r="D23" s="7">
        <f>$C$15</f>
        <v>559.91</v>
      </c>
      <c r="E23" s="7">
        <f>ROUND($G22*$C$13/12,2)</f>
        <v>95.46</v>
      </c>
      <c r="F23" s="7">
        <f>$D23-$E23</f>
        <v>464.45</v>
      </c>
      <c r="G23" s="7">
        <f>$G22-$F23</f>
        <v>14808.79</v>
      </c>
    </row>
    <row r="24" spans="2:7">
      <c r="B24" s="5">
        <v>8</v>
      </c>
      <c r="C24" s="16">
        <f>EOMONTH(C23,0)+2</f>
        <v>46297</v>
      </c>
      <c r="D24" s="7">
        <f>$C$15</f>
        <v>559.91</v>
      </c>
      <c r="E24" s="7">
        <f>ROUND($G23*$C$13/12,2)</f>
        <v>92.55</v>
      </c>
      <c r="F24" s="7">
        <f>$D24-$E24</f>
        <v>467.36</v>
      </c>
      <c r="G24" s="7">
        <f>$G23-$F24</f>
        <v>14341.43</v>
      </c>
    </row>
    <row r="25" spans="2:7">
      <c r="B25" s="5">
        <v>9</v>
      </c>
      <c r="C25" s="16">
        <f>EOMONTH(C24,0)+2</f>
        <v>46328</v>
      </c>
      <c r="D25" s="7">
        <f>$C$15</f>
        <v>559.91</v>
      </c>
      <c r="E25" s="7">
        <f>ROUND($G24*$C$13/12,2)</f>
        <v>89.63</v>
      </c>
      <c r="F25" s="7">
        <f>$D25-$E25</f>
        <v>470.28</v>
      </c>
      <c r="G25" s="7">
        <f>$G24-$F25</f>
        <v>13871.15</v>
      </c>
    </row>
    <row r="26" spans="2:7">
      <c r="B26" s="5">
        <v>10</v>
      </c>
      <c r="C26" s="16">
        <f>EOMONTH(C25,0)+2</f>
        <v>46358</v>
      </c>
      <c r="D26" s="7">
        <f>$C$15</f>
        <v>559.91</v>
      </c>
      <c r="E26" s="7">
        <f>ROUND($G25*$C$13/12,2)</f>
        <v>86.69</v>
      </c>
      <c r="F26" s="7">
        <f>$D26-$E26</f>
        <v>473.22</v>
      </c>
      <c r="G26" s="7">
        <f>$G25-$F26</f>
        <v>13397.93</v>
      </c>
    </row>
    <row r="27" spans="2:7">
      <c r="B27" s="5">
        <v>11</v>
      </c>
      <c r="C27" s="16">
        <f>EOMONTH(C26,0)+2</f>
        <v>46389</v>
      </c>
      <c r="D27" s="7">
        <f>$C$15</f>
        <v>559.91</v>
      </c>
      <c r="E27" s="7">
        <f>ROUND($G26*$C$13/12,2)</f>
        <v>83.74</v>
      </c>
      <c r="F27" s="7">
        <f>$D27-$E27</f>
        <v>476.17</v>
      </c>
      <c r="G27" s="7">
        <f>$G26-$F27</f>
        <v>12921.76</v>
      </c>
    </row>
    <row r="28" spans="2:7">
      <c r="B28" s="5">
        <v>12</v>
      </c>
      <c r="C28" s="16">
        <f>EOMONTH(C27,0)+2</f>
        <v>46420</v>
      </c>
      <c r="D28" s="7">
        <f>$C$15</f>
        <v>559.91</v>
      </c>
      <c r="E28" s="7">
        <f>ROUND($G27*$C$13/12,2)</f>
        <v>80.76</v>
      </c>
      <c r="F28" s="7">
        <f>$D28-$E28</f>
        <v>479.15</v>
      </c>
      <c r="G28" s="7">
        <f>$G27-$F28</f>
        <v>12442.61</v>
      </c>
    </row>
    <row r="29" spans="2:7">
      <c r="B29" s="5">
        <v>13</v>
      </c>
      <c r="C29" s="16">
        <f>EOMONTH(C28,0)+2</f>
        <v>46448</v>
      </c>
      <c r="D29" s="7">
        <f>$C$15</f>
        <v>559.91</v>
      </c>
      <c r="E29" s="7">
        <f>ROUND($G28*$C$13/12,2)</f>
        <v>77.77</v>
      </c>
      <c r="F29" s="7">
        <f>$D29-$E29</f>
        <v>482.14</v>
      </c>
      <c r="G29" s="7">
        <f>$G28-$F29</f>
        <v>11960.47</v>
      </c>
    </row>
    <row r="30" spans="2:7">
      <c r="B30" s="5">
        <v>14</v>
      </c>
      <c r="C30" s="16">
        <f>EOMONTH(C29,0)+2</f>
        <v>46479</v>
      </c>
      <c r="D30" s="7">
        <f>$C$15</f>
        <v>559.91</v>
      </c>
      <c r="E30" s="7">
        <f>ROUND($G29*$C$13/12,2)</f>
        <v>74.75</v>
      </c>
      <c r="F30" s="7">
        <f>$D30-$E30</f>
        <v>485.16</v>
      </c>
      <c r="G30" s="7">
        <f>$G29-$F30</f>
        <v>11475.31</v>
      </c>
    </row>
    <row r="31" spans="2:7">
      <c r="B31" s="5">
        <v>15</v>
      </c>
      <c r="C31" s="16">
        <f>EOMONTH(C30,0)+2</f>
        <v>46509</v>
      </c>
      <c r="D31" s="7">
        <f>$C$15</f>
        <v>559.91</v>
      </c>
      <c r="E31" s="7">
        <f>ROUND($G30*$C$13/12,2)</f>
        <v>71.72</v>
      </c>
      <c r="F31" s="7">
        <f>$D31-$E31</f>
        <v>488.19</v>
      </c>
      <c r="G31" s="7">
        <f>$G30-$F31</f>
        <v>10987.12</v>
      </c>
    </row>
    <row r="32" spans="2:7">
      <c r="B32" s="5">
        <v>16</v>
      </c>
      <c r="C32" s="16">
        <f>EOMONTH(C31,0)+2</f>
        <v>46540</v>
      </c>
      <c r="D32" s="7">
        <f>$C$15</f>
        <v>559.91</v>
      </c>
      <c r="E32" s="7">
        <f>ROUND($G31*$C$13/12,2)</f>
        <v>68.67</v>
      </c>
      <c r="F32" s="7">
        <f>$D32-$E32</f>
        <v>491.24</v>
      </c>
      <c r="G32" s="7">
        <f>$G31-$F32</f>
        <v>10495.88</v>
      </c>
    </row>
    <row r="33" spans="2:7">
      <c r="B33" s="5">
        <v>17</v>
      </c>
      <c r="C33" s="16">
        <f>EOMONTH(C32,0)+2</f>
        <v>46570</v>
      </c>
      <c r="D33" s="7">
        <f>$C$15</f>
        <v>559.91</v>
      </c>
      <c r="E33" s="7">
        <f>ROUND($G32*$C$13/12,2)</f>
        <v>65.6</v>
      </c>
      <c r="F33" s="7">
        <f>$D33-$E33</f>
        <v>494.31</v>
      </c>
      <c r="G33" s="7">
        <f>$G32-$F33</f>
        <v>10001.57</v>
      </c>
    </row>
    <row r="34" spans="2:7">
      <c r="B34" s="5">
        <v>18</v>
      </c>
      <c r="C34" s="16">
        <f>EOMONTH(C33,0)+2</f>
        <v>46601</v>
      </c>
      <c r="D34" s="7">
        <f>$C$15</f>
        <v>559.91</v>
      </c>
      <c r="E34" s="7">
        <f>ROUND($G33*$C$13/12,2)</f>
        <v>62.51</v>
      </c>
      <c r="F34" s="7">
        <f>$D34-$E34</f>
        <v>497.4</v>
      </c>
      <c r="G34" s="7">
        <f>$G33-$F34</f>
        <v>9504.17</v>
      </c>
    </row>
    <row r="35" spans="2:7">
      <c r="B35" s="5">
        <v>19</v>
      </c>
      <c r="C35" s="16">
        <f>EOMONTH(C34,0)+2</f>
        <v>46632</v>
      </c>
      <c r="D35" s="7">
        <f>$C$15</f>
        <v>559.91</v>
      </c>
      <c r="E35" s="7">
        <f>ROUND($G34*$C$13/12,2)</f>
        <v>59.4</v>
      </c>
      <c r="F35" s="7">
        <f>$D35-$E35</f>
        <v>500.51</v>
      </c>
      <c r="G35" s="7">
        <f>$G34-$F35</f>
        <v>9003.66</v>
      </c>
    </row>
    <row r="36" spans="2:7">
      <c r="B36" s="5">
        <v>20</v>
      </c>
      <c r="C36" s="16">
        <f>EOMONTH(C35,0)+2</f>
        <v>46662</v>
      </c>
      <c r="D36" s="7">
        <f>$C$15</f>
        <v>559.91</v>
      </c>
      <c r="E36" s="7">
        <f>ROUND($G35*$C$13/12,2)</f>
        <v>56.27</v>
      </c>
      <c r="F36" s="7">
        <f>$D36-$E36</f>
        <v>503.64</v>
      </c>
      <c r="G36" s="7">
        <f>$G35-$F36</f>
        <v>8500.02</v>
      </c>
    </row>
    <row r="37" spans="2:7">
      <c r="B37" s="5">
        <v>21</v>
      </c>
      <c r="C37" s="16">
        <f>EOMONTH(C36,0)+2</f>
        <v>46693</v>
      </c>
      <c r="D37" s="7">
        <f>$C$15</f>
        <v>559.91</v>
      </c>
      <c r="E37" s="7">
        <f>ROUND($G36*$C$13/12,2)</f>
        <v>53.13</v>
      </c>
      <c r="F37" s="7">
        <f>$D37-$E37</f>
        <v>506.78</v>
      </c>
      <c r="G37" s="7">
        <f>$G36-$F37</f>
        <v>7993.24</v>
      </c>
    </row>
    <row r="38" spans="2:7">
      <c r="B38" s="5">
        <v>22</v>
      </c>
      <c r="C38" s="16">
        <f>EOMONTH(C37,0)+2</f>
        <v>46723</v>
      </c>
      <c r="D38" s="7">
        <f>$C$15</f>
        <v>559.91</v>
      </c>
      <c r="E38" s="7">
        <f>ROUND($G37*$C$13/12,2)</f>
        <v>49.96</v>
      </c>
      <c r="F38" s="7">
        <f>$D38-$E38</f>
        <v>509.95</v>
      </c>
      <c r="G38" s="7">
        <f>$G37-$F38</f>
        <v>7483.29</v>
      </c>
    </row>
    <row r="39" spans="2:7">
      <c r="B39" s="5">
        <v>23</v>
      </c>
      <c r="C39" s="16">
        <f>EOMONTH(C38,0)+2</f>
        <v>46754</v>
      </c>
      <c r="D39" s="7">
        <f>$C$15</f>
        <v>559.91</v>
      </c>
      <c r="E39" s="7">
        <f>ROUND($G38*$C$13/12,2)</f>
        <v>46.77</v>
      </c>
      <c r="F39" s="7">
        <f>$D39-$E39</f>
        <v>513.14</v>
      </c>
      <c r="G39" s="7">
        <f>$G38-$F39</f>
        <v>6970.15</v>
      </c>
    </row>
    <row r="40" spans="2:7">
      <c r="B40" s="5">
        <v>24</v>
      </c>
      <c r="C40" s="16">
        <f>EOMONTH(C39,0)+2</f>
        <v>46785</v>
      </c>
      <c r="D40" s="7">
        <f>$C$15</f>
        <v>559.91</v>
      </c>
      <c r="E40" s="7">
        <f>ROUND($G39*$C$13/12,2)</f>
        <v>43.56</v>
      </c>
      <c r="F40" s="7">
        <f>$D40-$E40</f>
        <v>516.35</v>
      </c>
      <c r="G40" s="7">
        <f>$G39-$F40</f>
        <v>6453.8</v>
      </c>
    </row>
    <row r="41" spans="2:7">
      <c r="B41" s="5">
        <v>25</v>
      </c>
      <c r="C41" s="16">
        <f>EOMONTH(C40,0)+2</f>
        <v>46814</v>
      </c>
      <c r="D41" s="7">
        <f>$C$15</f>
        <v>559.91</v>
      </c>
      <c r="E41" s="7">
        <f>ROUND($G40*$C$13/12,2)</f>
        <v>40.34</v>
      </c>
      <c r="F41" s="7">
        <f>$D41-$E41</f>
        <v>519.57</v>
      </c>
      <c r="G41" s="7">
        <f>$G40-$F41</f>
        <v>5934.23</v>
      </c>
    </row>
    <row r="42" spans="2:7">
      <c r="B42" s="5">
        <v>26</v>
      </c>
      <c r="C42" s="16">
        <f>EOMONTH(C41,0)+2</f>
        <v>46845</v>
      </c>
      <c r="D42" s="7">
        <f>$C$15</f>
        <v>559.91</v>
      </c>
      <c r="E42" s="7">
        <f>ROUND($G41*$C$13/12,2)</f>
        <v>37.09</v>
      </c>
      <c r="F42" s="7">
        <f>$D42-$E42</f>
        <v>522.82</v>
      </c>
      <c r="G42" s="7">
        <f>$G41-$F42</f>
        <v>5411.41</v>
      </c>
    </row>
    <row r="43" spans="2:7">
      <c r="B43" s="5">
        <v>27</v>
      </c>
      <c r="C43" s="16">
        <f>EOMONTH(C42,0)+2</f>
        <v>46875</v>
      </c>
      <c r="D43" s="7">
        <f>$C$15</f>
        <v>559.91</v>
      </c>
      <c r="E43" s="7">
        <f>ROUND($G42*$C$13/12,2)</f>
        <v>33.82</v>
      </c>
      <c r="F43" s="7">
        <f>$D43-$E43</f>
        <v>526.09</v>
      </c>
      <c r="G43" s="7">
        <f>$G42-$F43</f>
        <v>4885.32</v>
      </c>
    </row>
    <row r="44" spans="2:7">
      <c r="B44" s="5">
        <v>28</v>
      </c>
      <c r="C44" s="16">
        <f>EOMONTH(C43,0)+2</f>
        <v>46906</v>
      </c>
      <c r="D44" s="7">
        <f>$C$15</f>
        <v>559.91</v>
      </c>
      <c r="E44" s="7">
        <f>ROUND($G43*$C$13/12,2)</f>
        <v>30.53</v>
      </c>
      <c r="F44" s="7">
        <f>$D44-$E44</f>
        <v>529.38</v>
      </c>
      <c r="G44" s="7">
        <f>$G43-$F44</f>
        <v>4355.94</v>
      </c>
    </row>
    <row r="45" spans="2:7">
      <c r="B45" s="5">
        <v>29</v>
      </c>
      <c r="C45" s="16">
        <f>EOMONTH(C44,0)+2</f>
        <v>46936</v>
      </c>
      <c r="D45" s="7">
        <f>$C$15</f>
        <v>559.91</v>
      </c>
      <c r="E45" s="7">
        <f>ROUND($G44*$C$13/12,2)</f>
        <v>27.22</v>
      </c>
      <c r="F45" s="7">
        <f>$D45-$E45</f>
        <v>532.69</v>
      </c>
      <c r="G45" s="7">
        <f>$G44-$F45</f>
        <v>3823.25</v>
      </c>
    </row>
    <row r="46" spans="2:7">
      <c r="B46" s="5">
        <v>30</v>
      </c>
      <c r="C46" s="16">
        <f>EOMONTH(C45,0)+2</f>
        <v>46967</v>
      </c>
      <c r="D46" s="7">
        <f>$C$15</f>
        <v>559.91</v>
      </c>
      <c r="E46" s="7">
        <f>ROUND($G45*$C$13/12,2)</f>
        <v>23.9</v>
      </c>
      <c r="F46" s="7">
        <f>$D46-$E46</f>
        <v>536.01</v>
      </c>
      <c r="G46" s="7">
        <f>$G45-$F46</f>
        <v>3287.24</v>
      </c>
    </row>
    <row r="47" spans="2:7">
      <c r="B47" s="5">
        <v>31</v>
      </c>
      <c r="C47" s="16">
        <f>EOMONTH(C46,0)+2</f>
        <v>46998</v>
      </c>
      <c r="D47" s="7">
        <f>$C$15</f>
        <v>559.91</v>
      </c>
      <c r="E47" s="7">
        <f>ROUND($G46*$C$13/12,2)</f>
        <v>20.55</v>
      </c>
      <c r="F47" s="7">
        <f>$D47-$E47</f>
        <v>539.36</v>
      </c>
      <c r="G47" s="7">
        <f>$G46-$F47</f>
        <v>2747.88</v>
      </c>
    </row>
    <row r="48" spans="2:7">
      <c r="B48" s="5">
        <v>32</v>
      </c>
      <c r="C48" s="16">
        <f>EOMONTH(C47,0)+2</f>
        <v>47028</v>
      </c>
      <c r="D48" s="7">
        <f>$C$15</f>
        <v>559.91</v>
      </c>
      <c r="E48" s="7">
        <f>ROUND($G47*$C$13/12,2)</f>
        <v>17.17</v>
      </c>
      <c r="F48" s="7">
        <f>$D48-$E48</f>
        <v>542.74</v>
      </c>
      <c r="G48" s="7">
        <f>$G47-$F48</f>
        <v>2205.14</v>
      </c>
    </row>
    <row r="49" spans="2:7">
      <c r="B49" s="5">
        <v>33</v>
      </c>
      <c r="C49" s="16">
        <f>EOMONTH(C48,0)+2</f>
        <v>47059</v>
      </c>
      <c r="D49" s="7">
        <f>$C$15</f>
        <v>559.91</v>
      </c>
      <c r="E49" s="7">
        <f>ROUND($G48*$C$13/12,2)</f>
        <v>13.78</v>
      </c>
      <c r="F49" s="7">
        <f>$D49-$E49</f>
        <v>546.13</v>
      </c>
      <c r="G49" s="7">
        <f>$G48-$F49</f>
        <v>1659.01</v>
      </c>
    </row>
    <row r="50" spans="2:7">
      <c r="B50" s="5">
        <v>34</v>
      </c>
      <c r="C50" s="16">
        <f>EOMONTH(C49,0)+2</f>
        <v>47089</v>
      </c>
      <c r="D50" s="7">
        <f>$C$15</f>
        <v>559.91</v>
      </c>
      <c r="E50" s="7">
        <f>ROUND($G49*$C$13/12,2)</f>
        <v>10.37</v>
      </c>
      <c r="F50" s="7">
        <f>$D50-$E50</f>
        <v>549.54</v>
      </c>
      <c r="G50" s="7">
        <f>$G49-$F50</f>
        <v>1109.47</v>
      </c>
    </row>
    <row r="51" spans="2:7">
      <c r="B51" s="5">
        <v>35</v>
      </c>
      <c r="C51" s="16">
        <f>EOMONTH(C50,0)+2</f>
        <v>47120</v>
      </c>
      <c r="D51" s="7">
        <f>$C$15</f>
        <v>559.91</v>
      </c>
      <c r="E51" s="7">
        <f>ROUND($G50*$C$13/12,2)</f>
        <v>6.93</v>
      </c>
      <c r="F51" s="7">
        <f>$D51-$E51</f>
        <v>552.98</v>
      </c>
      <c r="G51" s="7">
        <f>$G50-$F51</f>
        <v>556.49</v>
      </c>
    </row>
    <row r="52" spans="2:7">
      <c r="B52" s="5">
        <v>36</v>
      </c>
      <c r="C52" s="16">
        <f>EOMONTH(C51,0)+2</f>
        <v>47151</v>
      </c>
      <c r="D52" s="7">
        <f>$C$15</f>
        <v>559.91</v>
      </c>
      <c r="E52" s="7">
        <f>ROUND($G51*$C$13/12,2)</f>
        <v>3.48</v>
      </c>
      <c r="F52" s="7">
        <f>$D52-$E52</f>
        <v>556.43</v>
      </c>
      <c r="G52" s="7">
        <f>$G51-$F52</f>
        <v>0.06</v>
      </c>
    </row>
  </sheetData>
  <mergeCells count="1">
    <mergeCell ref="B2:I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2:P28"/>
  <sheetViews>
    <sheetView workbookViewId="0">
      <pane ySplit="4" topLeftCell="A5" activePane="bottomLeft" state="frozen"/>
      <selection pane="bottomLeft"/>
    </sheetView>
  </sheetViews>
  <sheetFormatPr defaultRowHeight="15"/>
  <cols>
    <col min="2" max="2" width="38.7109375" customWidth="1"/>
    <col min="3" max="14" width="12.7109375" customWidth="1"/>
    <col min="15" max="15" width="13.7109375" customWidth="1"/>
  </cols>
  <sheetData>
    <row r="2" spans="2:16">
      <c r="B2" s="1" t="s">
        <v>145</v>
      </c>
      <c r="C2" s="1"/>
      <c r="D2" s="1"/>
      <c r="E2" s="1"/>
      <c r="F2" s="1"/>
      <c r="G2" s="1"/>
      <c r="H2" s="1"/>
      <c r="I2" s="1"/>
      <c r="J2" s="1"/>
      <c r="K2" s="1"/>
      <c r="L2" s="1"/>
      <c r="M2" s="1"/>
      <c r="N2" s="1"/>
      <c r="O2" s="1"/>
      <c r="P2" s="1"/>
    </row>
    <row r="4" spans="2:16" ht="28" customHeight="1">
      <c r="B4" s="2" t="s">
        <v>89</v>
      </c>
      <c r="C4" s="14">
        <v>46023</v>
      </c>
      <c r="D4" s="14">
        <v>46054</v>
      </c>
      <c r="E4" s="14">
        <v>46082</v>
      </c>
      <c r="F4" s="14">
        <v>46113</v>
      </c>
      <c r="G4" s="14">
        <v>46143</v>
      </c>
      <c r="H4" s="14">
        <v>46174</v>
      </c>
      <c r="I4" s="14">
        <v>46204</v>
      </c>
      <c r="J4" s="14">
        <v>46235</v>
      </c>
      <c r="K4" s="14">
        <v>46266</v>
      </c>
      <c r="L4" s="14">
        <v>46296</v>
      </c>
      <c r="M4" s="14">
        <v>46327</v>
      </c>
      <c r="N4" s="14">
        <v>46357</v>
      </c>
      <c r="O4" s="2" t="s">
        <v>90</v>
      </c>
    </row>
    <row r="5" spans="2:16">
      <c r="B5" s="15" t="s">
        <v>146</v>
      </c>
    </row>
    <row r="6" spans="2:16">
      <c r="B6" s="3" t="s">
        <v>147</v>
      </c>
      <c r="C6" s="7">
        <f>'Revenue Plan'!C8</f>
        <v>16575.0</v>
      </c>
      <c r="D6" s="7">
        <f>'Revenue Plan'!D8</f>
        <v>17550.0</v>
      </c>
      <c r="E6" s="7">
        <f>'Revenue Plan'!E8</f>
        <v>20475.0</v>
      </c>
      <c r="F6" s="7">
        <f>'Revenue Plan'!F8</f>
        <v>21450.0</v>
      </c>
      <c r="G6" s="7">
        <f>'Revenue Plan'!G8</f>
        <v>21450.0</v>
      </c>
      <c r="H6" s="7">
        <f>'Revenue Plan'!H8</f>
        <v>18525.0</v>
      </c>
      <c r="I6" s="7">
        <f>'Revenue Plan'!I8</f>
        <v>15600.0</v>
      </c>
      <c r="J6" s="7">
        <f>'Revenue Plan'!J8</f>
        <v>16575.0</v>
      </c>
      <c r="K6" s="7">
        <f>'Revenue Plan'!K8</f>
        <v>20475.0</v>
      </c>
      <c r="L6" s="7">
        <f>'Revenue Plan'!L8</f>
        <v>21450.0</v>
      </c>
      <c r="M6" s="7">
        <f>'Revenue Plan'!M8</f>
        <v>22425.0</v>
      </c>
      <c r="N6" s="7">
        <f>'Revenue Plan'!N8</f>
        <v>21450.0</v>
      </c>
      <c r="O6" s="7">
        <f>SUM(C6:N6)</f>
        <v>234000.0</v>
      </c>
    </row>
    <row r="7" spans="2:16">
      <c r="B7" s="3" t="s">
        <v>148</v>
      </c>
      <c r="C7" s="7">
        <f>'Revenue Plan'!C9</f>
        <v>32300.0</v>
      </c>
      <c r="D7" s="7">
        <f>'Revenue Plan'!D9</f>
        <v>34200.0</v>
      </c>
      <c r="E7" s="7">
        <f>'Revenue Plan'!E9</f>
        <v>39900.0</v>
      </c>
      <c r="F7" s="7">
        <f>'Revenue Plan'!F9</f>
        <v>41800.0</v>
      </c>
      <c r="G7" s="7">
        <f>'Revenue Plan'!G9</f>
        <v>41800.0</v>
      </c>
      <c r="H7" s="7">
        <f>'Revenue Plan'!H9</f>
        <v>36100.0</v>
      </c>
      <c r="I7" s="7">
        <f>'Revenue Plan'!I9</f>
        <v>30400.0</v>
      </c>
      <c r="J7" s="7">
        <f>'Revenue Plan'!J9</f>
        <v>32300.0</v>
      </c>
      <c r="K7" s="7">
        <f>'Revenue Plan'!K9</f>
        <v>39900.0</v>
      </c>
      <c r="L7" s="7">
        <f>'Revenue Plan'!L9</f>
        <v>41800.0</v>
      </c>
      <c r="M7" s="7">
        <f>'Revenue Plan'!M9</f>
        <v>43700.0</v>
      </c>
      <c r="N7" s="7">
        <f>'Revenue Plan'!N9</f>
        <v>41800.0</v>
      </c>
      <c r="O7" s="7">
        <f>SUM(C7:N7)</f>
        <v>456000.0</v>
      </c>
    </row>
    <row r="8" spans="2:16">
      <c r="B8" s="11" t="s">
        <v>149</v>
      </c>
      <c r="C8" s="12">
        <f>C6+C7</f>
        <v>48875.0</v>
      </c>
      <c r="D8" s="12">
        <f>D6+D7</f>
        <v>51750.0</v>
      </c>
      <c r="E8" s="12">
        <f>E6+E7</f>
        <v>60375.0</v>
      </c>
      <c r="F8" s="12">
        <f>F6+F7</f>
        <v>63250.0</v>
      </c>
      <c r="G8" s="12">
        <f>G6+G7</f>
        <v>63250.0</v>
      </c>
      <c r="H8" s="12">
        <f>H6+H7</f>
        <v>54625.0</v>
      </c>
      <c r="I8" s="12">
        <f>I6+I7</f>
        <v>46000.0</v>
      </c>
      <c r="J8" s="12">
        <f>J6+J7</f>
        <v>48875.0</v>
      </c>
      <c r="K8" s="12">
        <f>K6+K7</f>
        <v>60375.0</v>
      </c>
      <c r="L8" s="12">
        <f>L6+L7</f>
        <v>63250.0</v>
      </c>
      <c r="M8" s="12">
        <f>M6+M7</f>
        <v>66125.0</v>
      </c>
      <c r="N8" s="12">
        <f>N6+N7</f>
        <v>63250.0</v>
      </c>
      <c r="O8" s="12">
        <f>SUM(C8:N8)</f>
        <v>690000.0</v>
      </c>
    </row>
    <row r="9" spans="2:16">
      <c r="B9" s="15" t="s">
        <v>150</v>
      </c>
    </row>
    <row r="10" spans="2:16">
      <c r="B10" s="3" t="s">
        <v>108</v>
      </c>
      <c r="C10" s="7">
        <f>'Operating Expenses'!C6</f>
        <v>8075.0</v>
      </c>
      <c r="D10" s="7">
        <f>'Operating Expenses'!D6</f>
        <v>8550.0</v>
      </c>
      <c r="E10" s="7">
        <f>'Operating Expenses'!E6</f>
        <v>9975.0</v>
      </c>
      <c r="F10" s="7">
        <f>'Operating Expenses'!F6</f>
        <v>10450.0</v>
      </c>
      <c r="G10" s="7">
        <f>'Operating Expenses'!G6</f>
        <v>10450.0</v>
      </c>
      <c r="H10" s="7">
        <f>'Operating Expenses'!H6</f>
        <v>9025.0</v>
      </c>
      <c r="I10" s="7">
        <f>'Operating Expenses'!I6</f>
        <v>7600.0</v>
      </c>
      <c r="J10" s="7">
        <f>'Operating Expenses'!J6</f>
        <v>8075.0</v>
      </c>
      <c r="K10" s="7">
        <f>'Operating Expenses'!K6</f>
        <v>9975.0</v>
      </c>
      <c r="L10" s="7">
        <f>'Operating Expenses'!L6</f>
        <v>10450.0</v>
      </c>
      <c r="M10" s="7">
        <f>'Operating Expenses'!M6</f>
        <v>10925.0</v>
      </c>
      <c r="N10" s="7">
        <f>'Operating Expenses'!N6</f>
        <v>10450.0</v>
      </c>
      <c r="O10" s="7">
        <f>SUM(C10:N10)</f>
        <v>114000.0</v>
      </c>
    </row>
    <row r="11" spans="2:16">
      <c r="B11" s="3" t="s">
        <v>151</v>
      </c>
      <c r="C11" s="7">
        <f>C8-C10</f>
        <v>40800.0</v>
      </c>
      <c r="D11" s="7">
        <f>D8-D10</f>
        <v>43200.0</v>
      </c>
      <c r="E11" s="7">
        <f>E8-E10</f>
        <v>50400.0</v>
      </c>
      <c r="F11" s="7">
        <f>F8-F10</f>
        <v>52800.0</v>
      </c>
      <c r="G11" s="7">
        <f>G8-G10</f>
        <v>52800.0</v>
      </c>
      <c r="H11" s="7">
        <f>H8-H10</f>
        <v>45600.0</v>
      </c>
      <c r="I11" s="7">
        <f>I8-I10</f>
        <v>38400.0</v>
      </c>
      <c r="J11" s="7">
        <f>J8-J10</f>
        <v>40800.0</v>
      </c>
      <c r="K11" s="7">
        <f>K8-K10</f>
        <v>50400.0</v>
      </c>
      <c r="L11" s="7">
        <f>L8-L10</f>
        <v>52800.0</v>
      </c>
      <c r="M11" s="7">
        <f>M8-M10</f>
        <v>55200.0</v>
      </c>
      <c r="N11" s="7">
        <f>N8-N10</f>
        <v>52800.0</v>
      </c>
      <c r="O11" s="7">
        <f>SUM(C11:N11)</f>
        <v>576000.0</v>
      </c>
    </row>
    <row r="12" spans="2:16">
      <c r="B12" s="3" t="s">
        <v>152</v>
      </c>
      <c r="C12" s="9">
        <f>IF(C8=0,0,C11/C8)</f>
        <v>0.8347826086956521</v>
      </c>
      <c r="D12" s="9">
        <f>IF(D8=0,0,D11/D8)</f>
        <v>0.8347826086956521</v>
      </c>
      <c r="E12" s="9">
        <f>IF(E8=0,0,E11/E8)</f>
        <v>0.8347826086956521</v>
      </c>
      <c r="F12" s="9">
        <f>IF(F8=0,0,F11/F8)</f>
        <v>0.8347826086956521</v>
      </c>
      <c r="G12" s="9">
        <f>IF(G8=0,0,G11/G8)</f>
        <v>0.8347826086956521</v>
      </c>
      <c r="H12" s="9">
        <f>IF(H8=0,0,H11/H8)</f>
        <v>0.8347826086956521</v>
      </c>
      <c r="I12" s="9">
        <f>IF(I8=0,0,I11/I8)</f>
        <v>0.8347826086956521</v>
      </c>
      <c r="J12" s="9">
        <f>IF(J8=0,0,J11/J8)</f>
        <v>0.8347826086956521</v>
      </c>
      <c r="K12" s="9">
        <f>IF(K8=0,0,K11/K8)</f>
        <v>0.8347826086956521</v>
      </c>
      <c r="L12" s="9">
        <f>IF(L8=0,0,L11/L8)</f>
        <v>0.8347826086956521</v>
      </c>
      <c r="M12" s="9">
        <f>IF(M8=0,0,M11/M8)</f>
        <v>0.8347826086956521</v>
      </c>
      <c r="N12" s="9">
        <f>IF(N8=0,0,N11/N8)</f>
        <v>0.8347826086956521</v>
      </c>
      <c r="O12" s="9">
        <f>IF(O8=0,0,O11/O8)</f>
        <v>0.8347826086956521</v>
      </c>
    </row>
    <row r="13" spans="2:16">
      <c r="B13" s="15" t="s">
        <v>153</v>
      </c>
    </row>
    <row r="14" spans="2:16">
      <c r="B14" s="3" t="s">
        <v>154</v>
      </c>
      <c r="C14" s="7">
        <f>SUMIF('Staff &amp; Payroll'!$D$5:$D$9,"&lt;="&amp;EOMONTH(C$4,0),'Staff &amp; Payroll'!$F$5:$F$9)</f>
        <v>25300.0</v>
      </c>
      <c r="D14" s="7">
        <f>SUMIF('Staff &amp; Payroll'!$D$5:$D$9,"&lt;="&amp;EOMONTH(D$4,0),'Staff &amp; Payroll'!$F$5:$F$9)</f>
        <v>25300.0</v>
      </c>
      <c r="E14" s="7">
        <f>SUMIF('Staff &amp; Payroll'!$D$5:$D$9,"&lt;="&amp;EOMONTH(E$4,0),'Staff &amp; Payroll'!$F$5:$F$9)</f>
        <v>25300.0</v>
      </c>
      <c r="F14" s="7">
        <f>SUMIF('Staff &amp; Payroll'!$D$5:$D$9,"&lt;="&amp;EOMONTH(F$4,0),'Staff &amp; Payroll'!$F$5:$F$9)</f>
        <v>25300.0</v>
      </c>
      <c r="G14" s="7">
        <f>SUMIF('Staff &amp; Payroll'!$D$5:$D$9,"&lt;="&amp;EOMONTH(G$4,0),'Staff &amp; Payroll'!$F$5:$F$9)</f>
        <v>25300.0</v>
      </c>
      <c r="H14" s="7">
        <f>SUMIF('Staff &amp; Payroll'!$D$5:$D$9,"&lt;="&amp;EOMONTH(H$4,0),'Staff &amp; Payroll'!$F$5:$F$9)</f>
        <v>25300.0</v>
      </c>
      <c r="I14" s="7">
        <f>SUMIF('Staff &amp; Payroll'!$D$5:$D$9,"&lt;="&amp;EOMONTH(I$4,0),'Staff &amp; Payroll'!$F$5:$F$9)</f>
        <v>29300.0</v>
      </c>
      <c r="J14" s="7">
        <f>SUMIF('Staff &amp; Payroll'!$D$5:$D$9,"&lt;="&amp;EOMONTH(J$4,0),'Staff &amp; Payroll'!$F$5:$F$9)</f>
        <v>29300.0</v>
      </c>
      <c r="K14" s="7">
        <f>SUMIF('Staff &amp; Payroll'!$D$5:$D$9,"&lt;="&amp;EOMONTH(K$4,0),'Staff &amp; Payroll'!$F$5:$F$9)</f>
        <v>29300.0</v>
      </c>
      <c r="L14" s="7">
        <f>SUMIF('Staff &amp; Payroll'!$D$5:$D$9,"&lt;="&amp;EOMONTH(L$4,0),'Staff &amp; Payroll'!$F$5:$F$9)</f>
        <v>29300.0</v>
      </c>
      <c r="M14" s="7">
        <f>SUMIF('Staff &amp; Payroll'!$D$5:$D$9,"&lt;="&amp;EOMONTH(M$4,0),'Staff &amp; Payroll'!$F$5:$F$9)</f>
        <v>29300.0</v>
      </c>
      <c r="N14" s="7">
        <f>SUMIF('Staff &amp; Payroll'!$D$5:$D$9,"&lt;="&amp;EOMONTH(N$4,0),'Staff &amp; Payroll'!$F$5:$F$9)</f>
        <v>29300.0</v>
      </c>
      <c r="O14" s="7">
        <f>SUM(C14:N14)</f>
        <v>327600.0</v>
      </c>
    </row>
    <row r="15" spans="2:16">
      <c r="B15" s="3" t="s">
        <v>155</v>
      </c>
      <c r="C15" s="7">
        <f>SUMIF('Staff &amp; Payroll'!$D$5:$D$9,"&lt;="&amp;EOMONTH(C$4,0),'Staff &amp; Payroll'!$G$5:$G$9)</f>
        <v>2403.5</v>
      </c>
      <c r="D15" s="7">
        <f>SUMIF('Staff &amp; Payroll'!$D$5:$D$9,"&lt;="&amp;EOMONTH(D$4,0),'Staff &amp; Payroll'!$G$5:$G$9)</f>
        <v>2403.5</v>
      </c>
      <c r="E15" s="7">
        <f>SUMIF('Staff &amp; Payroll'!$D$5:$D$9,"&lt;="&amp;EOMONTH(E$4,0),'Staff &amp; Payroll'!$G$5:$G$9)</f>
        <v>2403.5</v>
      </c>
      <c r="F15" s="7">
        <f>SUMIF('Staff &amp; Payroll'!$D$5:$D$9,"&lt;="&amp;EOMONTH(F$4,0),'Staff &amp; Payroll'!$G$5:$G$9)</f>
        <v>2403.5</v>
      </c>
      <c r="G15" s="7">
        <f>SUMIF('Staff &amp; Payroll'!$D$5:$D$9,"&lt;="&amp;EOMONTH(G$4,0),'Staff &amp; Payroll'!$G$5:$G$9)</f>
        <v>2403.5</v>
      </c>
      <c r="H15" s="7">
        <f>SUMIF('Staff &amp; Payroll'!$D$5:$D$9,"&lt;="&amp;EOMONTH(H$4,0),'Staff &amp; Payroll'!$G$5:$G$9)</f>
        <v>2403.5</v>
      </c>
      <c r="I15" s="7">
        <f>SUMIF('Staff &amp; Payroll'!$D$5:$D$9,"&lt;="&amp;EOMONTH(I$4,0),'Staff &amp; Payroll'!$G$5:$G$9)</f>
        <v>2783.5</v>
      </c>
      <c r="J15" s="7">
        <f>SUMIF('Staff &amp; Payroll'!$D$5:$D$9,"&lt;="&amp;EOMONTH(J$4,0),'Staff &amp; Payroll'!$G$5:$G$9)</f>
        <v>2783.5</v>
      </c>
      <c r="K15" s="7">
        <f>SUMIF('Staff &amp; Payroll'!$D$5:$D$9,"&lt;="&amp;EOMONTH(K$4,0),'Staff &amp; Payroll'!$G$5:$G$9)</f>
        <v>2783.5</v>
      </c>
      <c r="L15" s="7">
        <f>SUMIF('Staff &amp; Payroll'!$D$5:$D$9,"&lt;="&amp;EOMONTH(L$4,0),'Staff &amp; Payroll'!$G$5:$G$9)</f>
        <v>2783.5</v>
      </c>
      <c r="M15" s="7">
        <f>SUMIF('Staff &amp; Payroll'!$D$5:$D$9,"&lt;="&amp;EOMONTH(M$4,0),'Staff &amp; Payroll'!$G$5:$G$9)</f>
        <v>2783.5</v>
      </c>
      <c r="N15" s="7">
        <f>SUMIF('Staff &amp; Payroll'!$D$5:$D$9,"&lt;="&amp;EOMONTH(N$4,0),'Staff &amp; Payroll'!$G$5:$G$9)</f>
        <v>2783.5</v>
      </c>
      <c r="O15" s="7">
        <f>SUM(C15:N15)</f>
        <v>31122.0</v>
      </c>
    </row>
    <row r="16" spans="2:16">
      <c r="B16" s="3" t="s">
        <v>156</v>
      </c>
      <c r="C16" s="7">
        <f>SUMIF('Staff &amp; Payroll'!$D$5:$D$9,"&lt;="&amp;EOMONTH(C$4,0),'Staff &amp; Payroll'!$H$5:$H$9)</f>
        <v>2240.0</v>
      </c>
      <c r="D16" s="7">
        <f>SUMIF('Staff &amp; Payroll'!$D$5:$D$9,"&lt;="&amp;EOMONTH(D$4,0),'Staff &amp; Payroll'!$H$5:$H$9)</f>
        <v>2240.0</v>
      </c>
      <c r="E16" s="7">
        <f>SUMIF('Staff &amp; Payroll'!$D$5:$D$9,"&lt;="&amp;EOMONTH(E$4,0),'Staff &amp; Payroll'!$H$5:$H$9)</f>
        <v>2240.0</v>
      </c>
      <c r="F16" s="7">
        <f>SUMIF('Staff &amp; Payroll'!$D$5:$D$9,"&lt;="&amp;EOMONTH(F$4,0),'Staff &amp; Payroll'!$H$5:$H$9)</f>
        <v>2240.0</v>
      </c>
      <c r="G16" s="7">
        <f>SUMIF('Staff &amp; Payroll'!$D$5:$D$9,"&lt;="&amp;EOMONTH(G$4,0),'Staff &amp; Payroll'!$H$5:$H$9)</f>
        <v>2240.0</v>
      </c>
      <c r="H16" s="7">
        <f>SUMIF('Staff &amp; Payroll'!$D$5:$D$9,"&lt;="&amp;EOMONTH(H$4,0),'Staff &amp; Payroll'!$H$5:$H$9)</f>
        <v>2240.0</v>
      </c>
      <c r="I16" s="7">
        <f>SUMIF('Staff &amp; Payroll'!$D$5:$D$9,"&lt;="&amp;EOMONTH(I$4,0),'Staff &amp; Payroll'!$H$5:$H$9)</f>
        <v>2800.0</v>
      </c>
      <c r="J16" s="7">
        <f>SUMIF('Staff &amp; Payroll'!$D$5:$D$9,"&lt;="&amp;EOMONTH(J$4,0),'Staff &amp; Payroll'!$H$5:$H$9)</f>
        <v>2800.0</v>
      </c>
      <c r="K16" s="7">
        <f>SUMIF('Staff &amp; Payroll'!$D$5:$D$9,"&lt;="&amp;EOMONTH(K$4,0),'Staff &amp; Payroll'!$H$5:$H$9)</f>
        <v>2800.0</v>
      </c>
      <c r="L16" s="7">
        <f>SUMIF('Staff &amp; Payroll'!$D$5:$D$9,"&lt;="&amp;EOMONTH(L$4,0),'Staff &amp; Payroll'!$H$5:$H$9)</f>
        <v>2800.0</v>
      </c>
      <c r="M16" s="7">
        <f>SUMIF('Staff &amp; Payroll'!$D$5:$D$9,"&lt;="&amp;EOMONTH(M$4,0),'Staff &amp; Payroll'!$H$5:$H$9)</f>
        <v>2800.0</v>
      </c>
      <c r="N16" s="7">
        <f>SUMIF('Staff &amp; Payroll'!$D$5:$D$9,"&lt;="&amp;EOMONTH(N$4,0),'Staff &amp; Payroll'!$H$5:$H$9)</f>
        <v>2800.0</v>
      </c>
      <c r="O16" s="7">
        <f>SUM(C16:N16)</f>
        <v>30240.0</v>
      </c>
    </row>
    <row r="17" spans="2:15">
      <c r="B17" s="3" t="s">
        <v>157</v>
      </c>
      <c r="C17" s="7">
        <f>'Operating Expenses'!C8</f>
        <v>3900.0</v>
      </c>
      <c r="D17" s="7">
        <f>'Operating Expenses'!D8</f>
        <v>3900.0</v>
      </c>
      <c r="E17" s="7">
        <f>'Operating Expenses'!E8</f>
        <v>3900.0</v>
      </c>
      <c r="F17" s="7">
        <f>'Operating Expenses'!F8</f>
        <v>3900.0</v>
      </c>
      <c r="G17" s="7">
        <f>'Operating Expenses'!G8</f>
        <v>3900.0</v>
      </c>
      <c r="H17" s="7">
        <f>'Operating Expenses'!H8</f>
        <v>3900.0</v>
      </c>
      <c r="I17" s="7">
        <f>'Operating Expenses'!I8</f>
        <v>3900.0</v>
      </c>
      <c r="J17" s="7">
        <f>'Operating Expenses'!J8</f>
        <v>3900.0</v>
      </c>
      <c r="K17" s="7">
        <f>'Operating Expenses'!K8</f>
        <v>3900.0</v>
      </c>
      <c r="L17" s="7">
        <f>'Operating Expenses'!L8</f>
        <v>3900.0</v>
      </c>
      <c r="M17" s="7">
        <f>'Operating Expenses'!M8</f>
        <v>3900.0</v>
      </c>
      <c r="N17" s="7">
        <f>'Operating Expenses'!N8</f>
        <v>3900.0</v>
      </c>
      <c r="O17" s="7">
        <f>SUM(C17:N17)</f>
        <v>46800.0</v>
      </c>
    </row>
    <row r="18" spans="2:15">
      <c r="B18" s="3" t="s">
        <v>111</v>
      </c>
      <c r="C18" s="7">
        <f>'Operating Expenses'!C9</f>
        <v>1400.0</v>
      </c>
      <c r="D18" s="7">
        <f>'Operating Expenses'!D9</f>
        <v>1400.0</v>
      </c>
      <c r="E18" s="7">
        <f>'Operating Expenses'!E9</f>
        <v>1400.0</v>
      </c>
      <c r="F18" s="7">
        <f>'Operating Expenses'!F9</f>
        <v>1400.0</v>
      </c>
      <c r="G18" s="7">
        <f>'Operating Expenses'!G9</f>
        <v>1400.0</v>
      </c>
      <c r="H18" s="7">
        <f>'Operating Expenses'!H9</f>
        <v>1400.0</v>
      </c>
      <c r="I18" s="7">
        <f>'Operating Expenses'!I9</f>
        <v>1750.0</v>
      </c>
      <c r="J18" s="7">
        <f>'Operating Expenses'!J9</f>
        <v>1750.0</v>
      </c>
      <c r="K18" s="7">
        <f>'Operating Expenses'!K9</f>
        <v>1750.0</v>
      </c>
      <c r="L18" s="7">
        <f>'Operating Expenses'!L9</f>
        <v>1750.0</v>
      </c>
      <c r="M18" s="7">
        <f>'Operating Expenses'!M9</f>
        <v>1750.0</v>
      </c>
      <c r="N18" s="7">
        <f>'Operating Expenses'!N9</f>
        <v>1750.0</v>
      </c>
      <c r="O18" s="7">
        <f>SUM(C18:N18)</f>
        <v>18900.0</v>
      </c>
    </row>
    <row r="19" spans="2:15">
      <c r="B19" s="3" t="s">
        <v>112</v>
      </c>
      <c r="C19" s="7">
        <f>'Operating Expenses'!C10</f>
        <v>2000.0</v>
      </c>
      <c r="D19" s="7">
        <f>'Operating Expenses'!D10</f>
        <v>2000.0</v>
      </c>
      <c r="E19" s="7">
        <f>'Operating Expenses'!E10</f>
        <v>3200.0</v>
      </c>
      <c r="F19" s="7">
        <f>'Operating Expenses'!F10</f>
        <v>2000.0</v>
      </c>
      <c r="G19" s="7">
        <f>'Operating Expenses'!G10</f>
        <v>2000.0</v>
      </c>
      <c r="H19" s="7">
        <f>'Operating Expenses'!H10</f>
        <v>2000.0</v>
      </c>
      <c r="I19" s="7">
        <f>'Operating Expenses'!I10</f>
        <v>2000.0</v>
      </c>
      <c r="J19" s="7">
        <f>'Operating Expenses'!J10</f>
        <v>2000.0</v>
      </c>
      <c r="K19" s="7">
        <f>'Operating Expenses'!K10</f>
        <v>2000.0</v>
      </c>
      <c r="L19" s="7">
        <f>'Operating Expenses'!L10</f>
        <v>3500.0</v>
      </c>
      <c r="M19" s="7">
        <f>'Operating Expenses'!M10</f>
        <v>3500.0</v>
      </c>
      <c r="N19" s="7">
        <f>'Operating Expenses'!N10</f>
        <v>2000.0</v>
      </c>
      <c r="O19" s="7">
        <f>SUM(C19:N19)</f>
        <v>28200.0</v>
      </c>
    </row>
    <row r="20" spans="2:15">
      <c r="B20" s="3" t="s">
        <v>113</v>
      </c>
      <c r="C20" s="7">
        <f>'Operating Expenses'!C11</f>
        <v>900.0</v>
      </c>
      <c r="D20" s="7">
        <f>'Operating Expenses'!D11</f>
        <v>900.0</v>
      </c>
      <c r="E20" s="7">
        <f>'Operating Expenses'!E11</f>
        <v>4500.0</v>
      </c>
      <c r="F20" s="7">
        <f>'Operating Expenses'!F11</f>
        <v>900.0</v>
      </c>
      <c r="G20" s="7">
        <f>'Operating Expenses'!G11</f>
        <v>900.0</v>
      </c>
      <c r="H20" s="7">
        <f>'Operating Expenses'!H11</f>
        <v>900.0</v>
      </c>
      <c r="I20" s="7">
        <f>'Operating Expenses'!I11</f>
        <v>900.0</v>
      </c>
      <c r="J20" s="7">
        <f>'Operating Expenses'!J11</f>
        <v>900.0</v>
      </c>
      <c r="K20" s="7">
        <f>'Operating Expenses'!K11</f>
        <v>900.0</v>
      </c>
      <c r="L20" s="7">
        <f>'Operating Expenses'!L11</f>
        <v>900.0</v>
      </c>
      <c r="M20" s="7">
        <f>'Operating Expenses'!M11</f>
        <v>900.0</v>
      </c>
      <c r="N20" s="7">
        <f>'Operating Expenses'!N11</f>
        <v>900.0</v>
      </c>
      <c r="O20" s="7">
        <f>SUM(C20:N20)</f>
        <v>14400.0</v>
      </c>
    </row>
    <row r="21" spans="2:15">
      <c r="B21" s="3" t="s">
        <v>114</v>
      </c>
      <c r="C21" s="7">
        <f>'Operating Expenses'!C12</f>
        <v>700.0</v>
      </c>
      <c r="D21" s="7">
        <f>'Operating Expenses'!D12</f>
        <v>700.0</v>
      </c>
      <c r="E21" s="7">
        <f>'Operating Expenses'!E12</f>
        <v>3800.0</v>
      </c>
      <c r="F21" s="7">
        <f>'Operating Expenses'!F12</f>
        <v>700.0</v>
      </c>
      <c r="G21" s="7">
        <f>'Operating Expenses'!G12</f>
        <v>700.0</v>
      </c>
      <c r="H21" s="7">
        <f>'Operating Expenses'!H12</f>
        <v>700.0</v>
      </c>
      <c r="I21" s="7">
        <f>'Operating Expenses'!I12</f>
        <v>700.0</v>
      </c>
      <c r="J21" s="7">
        <f>'Operating Expenses'!J12</f>
        <v>700.0</v>
      </c>
      <c r="K21" s="7">
        <f>'Operating Expenses'!K12</f>
        <v>2400.0</v>
      </c>
      <c r="L21" s="7">
        <f>'Operating Expenses'!L12</f>
        <v>700.0</v>
      </c>
      <c r="M21" s="7">
        <f>'Operating Expenses'!M12</f>
        <v>700.0</v>
      </c>
      <c r="N21" s="7">
        <f>'Operating Expenses'!N12</f>
        <v>700.0</v>
      </c>
      <c r="O21" s="7">
        <f>SUM(C21:N21)</f>
        <v>13200.0</v>
      </c>
    </row>
    <row r="22" spans="2:15">
      <c r="B22" s="11" t="s">
        <v>158</v>
      </c>
      <c r="C22" s="12">
        <f>SUM(C14:C21)</f>
        <v>38843.5</v>
      </c>
      <c r="D22" s="12">
        <f>SUM(D14:D21)</f>
        <v>38843.5</v>
      </c>
      <c r="E22" s="12">
        <f>SUM(E14:E21)</f>
        <v>46743.5</v>
      </c>
      <c r="F22" s="12">
        <f>SUM(F14:F21)</f>
        <v>38843.5</v>
      </c>
      <c r="G22" s="12">
        <f>SUM(G14:G21)</f>
        <v>38843.5</v>
      </c>
      <c r="H22" s="12">
        <f>SUM(H14:H21)</f>
        <v>38843.5</v>
      </c>
      <c r="I22" s="12">
        <f>SUM(I14:I21)</f>
        <v>44133.5</v>
      </c>
      <c r="J22" s="12">
        <f>SUM(J14:J21)</f>
        <v>44133.5</v>
      </c>
      <c r="K22" s="12">
        <f>SUM(K14:K21)</f>
        <v>45833.5</v>
      </c>
      <c r="L22" s="12">
        <f>SUM(L14:L21)</f>
        <v>45633.5</v>
      </c>
      <c r="M22" s="12">
        <f>SUM(M14:M21)</f>
        <v>45633.5</v>
      </c>
      <c r="N22" s="12">
        <f>SUM(N14:N21)</f>
        <v>44133.5</v>
      </c>
      <c r="O22" s="12">
        <f>SUM(C22:N22)</f>
        <v>510462.0</v>
      </c>
    </row>
    <row r="23" spans="2:15">
      <c r="B23" s="15" t="s">
        <v>159</v>
      </c>
    </row>
    <row r="24" spans="2:15">
      <c r="B24" s="3" t="s">
        <v>160</v>
      </c>
      <c r="C24" s="7">
        <f>C11-C22</f>
        <v>1956.5</v>
      </c>
      <c r="D24" s="7">
        <f>D11-D22</f>
        <v>4356.5</v>
      </c>
      <c r="E24" s="7">
        <f>E11-E22</f>
        <v>3656.5</v>
      </c>
      <c r="F24" s="7">
        <f>F11-F22</f>
        <v>13956.5</v>
      </c>
      <c r="G24" s="7">
        <f>G11-G22</f>
        <v>13956.5</v>
      </c>
      <c r="H24" s="7">
        <f>H11-H22</f>
        <v>6756.5</v>
      </c>
      <c r="I24" s="7">
        <f>I11-I22</f>
        <v>-5733.5</v>
      </c>
      <c r="J24" s="7">
        <f>J11-J22</f>
        <v>-3333.5</v>
      </c>
      <c r="K24" s="7">
        <f>K11-K22</f>
        <v>4566.5</v>
      </c>
      <c r="L24" s="7">
        <f>L11-L22</f>
        <v>7166.5</v>
      </c>
      <c r="M24" s="7">
        <f>M11-M22</f>
        <v>9566.5</v>
      </c>
      <c r="N24" s="7">
        <f>N11-N22</f>
        <v>8666.5</v>
      </c>
      <c r="O24" s="7">
        <f>SUM(C24:N24)</f>
        <v>65538.0</v>
      </c>
    </row>
    <row r="25" spans="2:15">
      <c r="B25" s="3" t="s">
        <v>161</v>
      </c>
      <c r="C25" s="7">
        <f>SUMIF('CapEx &amp; Loan'!$C$5:$C$8,"&lt;="&amp;EOMONTH(C$4,0),'CapEx &amp; Loan'!$F$5:$F$8)</f>
        <v>375.0</v>
      </c>
      <c r="D25" s="7">
        <f>SUMIF('CapEx &amp; Loan'!$C$5:$C$8,"&lt;="&amp;EOMONTH(D$4,0),'CapEx &amp; Loan'!$F$5:$F$8)</f>
        <v>600.0</v>
      </c>
      <c r="E25" s="7">
        <f>SUMIF('CapEx &amp; Loan'!$C$5:$C$8,"&lt;="&amp;EOMONTH(E$4,0),'CapEx &amp; Loan'!$F$5:$F$8)</f>
        <v>600.0</v>
      </c>
      <c r="F25" s="7">
        <f>SUMIF('CapEx &amp; Loan'!$C$5:$C$8,"&lt;="&amp;EOMONTH(F$4,0),'CapEx &amp; Loan'!$F$5:$F$8)</f>
        <v>600.0</v>
      </c>
      <c r="G25" s="7">
        <f>SUMIF('CapEx &amp; Loan'!$C$5:$C$8,"&lt;="&amp;EOMONTH(G$4,0),'CapEx &amp; Loan'!$F$5:$F$8)</f>
        <v>600.0</v>
      </c>
      <c r="H25" s="7">
        <f>SUMIF('CapEx &amp; Loan'!$C$5:$C$8,"&lt;="&amp;EOMONTH(H$4,0),'CapEx &amp; Loan'!$F$5:$F$8)</f>
        <v>600.0</v>
      </c>
      <c r="I25" s="7">
        <f>SUMIF('CapEx &amp; Loan'!$C$5:$C$8,"&lt;="&amp;EOMONTH(I$4,0),'CapEx &amp; Loan'!$F$5:$F$8)</f>
        <v>600.0</v>
      </c>
      <c r="J25" s="7">
        <f>SUMIF('CapEx &amp; Loan'!$C$5:$C$8,"&lt;="&amp;EOMONTH(J$4,0),'CapEx &amp; Loan'!$F$5:$F$8)</f>
        <v>600.0</v>
      </c>
      <c r="K25" s="7">
        <f>SUMIF('CapEx &amp; Loan'!$C$5:$C$8,"&lt;="&amp;EOMONTH(K$4,0),'CapEx &amp; Loan'!$F$5:$F$8)</f>
        <v>775.0</v>
      </c>
      <c r="L25" s="7">
        <f>SUMIF('CapEx &amp; Loan'!$C$5:$C$8,"&lt;="&amp;EOMONTH(L$4,0),'CapEx &amp; Loan'!$F$5:$F$8)</f>
        <v>775.0</v>
      </c>
      <c r="M25" s="7">
        <f>SUMIF('CapEx &amp; Loan'!$C$5:$C$8,"&lt;="&amp;EOMONTH(M$4,0),'CapEx &amp; Loan'!$F$5:$F$8)</f>
        <v>775.0</v>
      </c>
      <c r="N25" s="7">
        <f>SUMIF('CapEx &amp; Loan'!$C$5:$C$8,"&lt;="&amp;EOMONTH(N$4,0),'CapEx &amp; Loan'!$F$5:$F$8)</f>
        <v>775.0</v>
      </c>
      <c r="O25" s="7">
        <f>SUM(C25:N25)</f>
        <v>7675.0</v>
      </c>
    </row>
    <row r="26" spans="2:15">
      <c r="B26" s="3" t="s">
        <v>162</v>
      </c>
      <c r="C26" s="7">
        <f>SUMIFS('CapEx &amp; Loan'!$E$17:$E$52,'CapEx &amp; Loan'!$C$17:$C$52,"&gt;="&amp;C$4,'CapEx &amp; Loan'!$C$17:$C$52,"&lt;="&amp;EOMONTH(C$4,0))</f>
        <v>0.0</v>
      </c>
      <c r="D26" s="7">
        <f>SUMIFS('CapEx &amp; Loan'!$E$17:$E$52,'CapEx &amp; Loan'!$C$17:$C$52,"&gt;="&amp;D$4,'CapEx &amp; Loan'!$C$17:$C$52,"&lt;="&amp;EOMONTH(D$4,0))</f>
        <v>0.0</v>
      </c>
      <c r="E26" s="7">
        <f>SUMIFS('CapEx &amp; Loan'!$E$17:$E$52,'CapEx &amp; Loan'!$C$17:$C$52,"&gt;="&amp;E$4,'CapEx &amp; Loan'!$C$17:$C$52,"&lt;="&amp;EOMONTH(E$4,0))</f>
        <v>112.5</v>
      </c>
      <c r="F26" s="7">
        <f>SUMIFS('CapEx &amp; Loan'!$E$17:$E$52,'CapEx &amp; Loan'!$C$17:$C$52,"&gt;="&amp;F$4,'CapEx &amp; Loan'!$C$17:$C$52,"&lt;="&amp;EOMONTH(F$4,0))</f>
        <v>109.7</v>
      </c>
      <c r="G26" s="7">
        <f>SUMIFS('CapEx &amp; Loan'!$E$17:$E$52,'CapEx &amp; Loan'!$C$17:$C$52,"&gt;="&amp;G$4,'CapEx &amp; Loan'!$C$17:$C$52,"&lt;="&amp;EOMONTH(G$4,0))</f>
        <v>106.89</v>
      </c>
      <c r="H26" s="7">
        <f>SUMIFS('CapEx &amp; Loan'!$E$17:$E$52,'CapEx &amp; Loan'!$C$17:$C$52,"&gt;="&amp;H$4,'CapEx &amp; Loan'!$C$17:$C$52,"&lt;="&amp;EOMONTH(H$4,0))</f>
        <v>104.06</v>
      </c>
      <c r="I26" s="7">
        <f>SUMIFS('CapEx &amp; Loan'!$E$17:$E$52,'CapEx &amp; Loan'!$C$17:$C$52,"&gt;="&amp;I$4,'CapEx &amp; Loan'!$C$17:$C$52,"&lt;="&amp;EOMONTH(I$4,0))</f>
        <v>101.21</v>
      </c>
      <c r="J26" s="7">
        <f>SUMIFS('CapEx &amp; Loan'!$E$17:$E$52,'CapEx &amp; Loan'!$C$17:$C$52,"&gt;="&amp;J$4,'CapEx &amp; Loan'!$C$17:$C$52,"&lt;="&amp;EOMONTH(J$4,0))</f>
        <v>98.34</v>
      </c>
      <c r="K26" s="7">
        <f>SUMIFS('CapEx &amp; Loan'!$E$17:$E$52,'CapEx &amp; Loan'!$C$17:$C$52,"&gt;="&amp;K$4,'CapEx &amp; Loan'!$C$17:$C$52,"&lt;="&amp;EOMONTH(K$4,0))</f>
        <v>95.46</v>
      </c>
      <c r="L26" s="7">
        <f>SUMIFS('CapEx &amp; Loan'!$E$17:$E$52,'CapEx &amp; Loan'!$C$17:$C$52,"&gt;="&amp;L$4,'CapEx &amp; Loan'!$C$17:$C$52,"&lt;="&amp;EOMONTH(L$4,0))</f>
        <v>92.55</v>
      </c>
      <c r="M26" s="7">
        <f>SUMIFS('CapEx &amp; Loan'!$E$17:$E$52,'CapEx &amp; Loan'!$C$17:$C$52,"&gt;="&amp;M$4,'CapEx &amp; Loan'!$C$17:$C$52,"&lt;="&amp;EOMONTH(M$4,0))</f>
        <v>89.63</v>
      </c>
      <c r="N26" s="7">
        <f>SUMIFS('CapEx &amp; Loan'!$E$17:$E$52,'CapEx &amp; Loan'!$C$17:$C$52,"&gt;="&amp;N$4,'CapEx &amp; Loan'!$C$17:$C$52,"&lt;="&amp;EOMONTH(N$4,0))</f>
        <v>86.69</v>
      </c>
      <c r="O26" s="7">
        <f>SUM(C26:N26)</f>
        <v>997.03</v>
      </c>
    </row>
    <row r="27" spans="2:15">
      <c r="B27" s="11" t="s">
        <v>163</v>
      </c>
      <c r="C27" s="12">
        <f>C24-C25-C26</f>
        <v>1581.5</v>
      </c>
      <c r="D27" s="12">
        <f>D24-D25-D26</f>
        <v>3756.5</v>
      </c>
      <c r="E27" s="12">
        <f>E24-E25-E26</f>
        <v>2944.0</v>
      </c>
      <c r="F27" s="12">
        <f>F24-F25-F26</f>
        <v>13246.8</v>
      </c>
      <c r="G27" s="12">
        <f>G24-G25-G26</f>
        <v>13249.61</v>
      </c>
      <c r="H27" s="12">
        <f>H24-H25-H26</f>
        <v>6052.44</v>
      </c>
      <c r="I27" s="12">
        <f>I24-I25-I26</f>
        <v>-6434.71</v>
      </c>
      <c r="J27" s="12">
        <f>J24-J25-J26</f>
        <v>-4031.84</v>
      </c>
      <c r="K27" s="12">
        <f>K24-K25-K26</f>
        <v>3696.04</v>
      </c>
      <c r="L27" s="12">
        <f>L24-L25-L26</f>
        <v>6298.95</v>
      </c>
      <c r="M27" s="12">
        <f>M24-M25-M26</f>
        <v>8701.87</v>
      </c>
      <c r="N27" s="12">
        <f>N24-N25-N26</f>
        <v>7804.81</v>
      </c>
      <c r="O27" s="12">
        <f>SUM(C27:N27)</f>
        <v>56865.97</v>
      </c>
    </row>
    <row r="28" spans="2:15">
      <c r="B28" s="3" t="s">
        <v>164</v>
      </c>
      <c r="C28" s="9">
        <f>IF(C8=0,0,C27/C8)</f>
        <v>0.032358056265984654</v>
      </c>
      <c r="D28" s="9">
        <f>IF(D8=0,0,D27/D8)</f>
        <v>0.07258937198067633</v>
      </c>
      <c r="E28" s="9">
        <f>IF(E8=0,0,E27/E8)</f>
        <v>0.04876190476190476</v>
      </c>
      <c r="F28" s="9">
        <f>IF(F8=0,0,F27/F8)</f>
        <v>0.20943557312252964</v>
      </c>
      <c r="G28" s="9">
        <f>IF(G8=0,0,G27/G8)</f>
        <v>0.20948</v>
      </c>
      <c r="H28" s="9">
        <f>IF(H8=0,0,H27/H8)</f>
        <v>0.11079981693363844</v>
      </c>
      <c r="I28" s="9">
        <f>IF(I8=0,0,I27/I8)</f>
        <v>-0.139885</v>
      </c>
      <c r="J28" s="9">
        <f>IF(J8=0,0,J27/J8)</f>
        <v>-0.08249289002557544</v>
      </c>
      <c r="K28" s="9">
        <f>IF(K8=0,0,K27/K8)</f>
        <v>0.06121805383022774</v>
      </c>
      <c r="L28" s="9">
        <f>IF(L8=0,0,L27/L8)</f>
        <v>0.09958814229249012</v>
      </c>
      <c r="M28" s="9">
        <f>IF(M8=0,0,M27/M8)</f>
        <v>0.13159727788279774</v>
      </c>
      <c r="N28" s="9">
        <f>IF(N8=0,0,N27/N8)</f>
        <v>0.12339620553359684</v>
      </c>
      <c r="O28" s="9">
        <f>IF(O8=0,0,O27/O8)</f>
        <v>0.08241444927536232</v>
      </c>
    </row>
  </sheetData>
  <mergeCells count="1">
    <mergeCell ref="B2:P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B2:P19"/>
  <sheetViews>
    <sheetView workbookViewId="0">
      <pane ySplit="4" topLeftCell="A5" activePane="bottomLeft" state="frozen"/>
      <selection pane="bottomLeft"/>
    </sheetView>
  </sheetViews>
  <sheetFormatPr defaultRowHeight="15"/>
  <cols>
    <col min="2" max="2" width="36.7109375" customWidth="1"/>
    <col min="3" max="14" width="12.7109375" customWidth="1"/>
    <col min="15" max="15" width="13.7109375" customWidth="1"/>
  </cols>
  <sheetData>
    <row r="2" spans="2:16">
      <c r="B2" s="1" t="s">
        <v>165</v>
      </c>
      <c r="C2" s="1"/>
      <c r="D2" s="1"/>
      <c r="E2" s="1"/>
      <c r="F2" s="1"/>
      <c r="G2" s="1"/>
      <c r="H2" s="1"/>
      <c r="I2" s="1"/>
      <c r="J2" s="1"/>
      <c r="K2" s="1"/>
      <c r="L2" s="1"/>
      <c r="M2" s="1"/>
      <c r="N2" s="1"/>
      <c r="O2" s="1"/>
      <c r="P2" s="1"/>
    </row>
    <row r="4" spans="2:16" ht="28" customHeight="1">
      <c r="B4" s="2" t="s">
        <v>89</v>
      </c>
      <c r="C4" s="14">
        <v>46023</v>
      </c>
      <c r="D4" s="14">
        <v>46054</v>
      </c>
      <c r="E4" s="14">
        <v>46082</v>
      </c>
      <c r="F4" s="14">
        <v>46113</v>
      </c>
      <c r="G4" s="14">
        <v>46143</v>
      </c>
      <c r="H4" s="14">
        <v>46174</v>
      </c>
      <c r="I4" s="14">
        <v>46204</v>
      </c>
      <c r="J4" s="14">
        <v>46235</v>
      </c>
      <c r="K4" s="14">
        <v>46266</v>
      </c>
      <c r="L4" s="14">
        <v>46296</v>
      </c>
      <c r="M4" s="14">
        <v>46327</v>
      </c>
      <c r="N4" s="14">
        <v>46357</v>
      </c>
      <c r="O4" s="2" t="s">
        <v>90</v>
      </c>
    </row>
    <row r="5" spans="2:16">
      <c r="B5" s="15" t="s">
        <v>166</v>
      </c>
    </row>
    <row r="6" spans="2:16">
      <c r="B6" s="3" t="s">
        <v>100</v>
      </c>
      <c r="C6" s="7">
        <f>'Revenue Plan'!C14</f>
        <v>57125.0</v>
      </c>
      <c r="D6" s="7">
        <f>'Revenue Plan'!D14</f>
        <v>52143.75</v>
      </c>
      <c r="E6" s="7">
        <f>'Revenue Plan'!E14</f>
        <v>54768.75</v>
      </c>
      <c r="F6" s="7">
        <f>'Revenue Plan'!F14</f>
        <v>60231.25</v>
      </c>
      <c r="G6" s="7">
        <f>'Revenue Plan'!G14</f>
        <v>62818.75</v>
      </c>
      <c r="H6" s="7">
        <f>'Revenue Plan'!H14</f>
        <v>59800.0</v>
      </c>
      <c r="I6" s="7">
        <f>'Revenue Plan'!I14</f>
        <v>52468.75</v>
      </c>
      <c r="J6" s="7">
        <f>'Revenue Plan'!J14</f>
        <v>48443.75</v>
      </c>
      <c r="K6" s="7">
        <f>'Revenue Plan'!K14</f>
        <v>53043.75</v>
      </c>
      <c r="L6" s="7">
        <f>'Revenue Plan'!L14</f>
        <v>59800.0</v>
      </c>
      <c r="M6" s="7">
        <f>'Revenue Plan'!M14</f>
        <v>63968.75</v>
      </c>
      <c r="N6" s="7">
        <f>'Revenue Plan'!N14</f>
        <v>64543.75</v>
      </c>
      <c r="O6" s="7">
        <f>SUM(C6:N6)</f>
        <v>689156.25</v>
      </c>
    </row>
    <row r="7" spans="2:16">
      <c r="B7" s="3" t="s">
        <v>167</v>
      </c>
      <c r="C7" s="7">
        <f>IF(C$4=DATE(2026,2,1),'CapEx &amp; Loan'!$C$12,0)</f>
        <v>0.0</v>
      </c>
      <c r="D7" s="7">
        <f>IF(D$4=DATE(2026,2,1),'CapEx &amp; Loan'!$C$12,0)</f>
        <v>18000.0</v>
      </c>
      <c r="E7" s="7">
        <f>IF(E$4=DATE(2026,2,1),'CapEx &amp; Loan'!$C$12,0)</f>
        <v>0.0</v>
      </c>
      <c r="F7" s="7">
        <f>IF(F$4=DATE(2026,2,1),'CapEx &amp; Loan'!$C$12,0)</f>
        <v>0.0</v>
      </c>
      <c r="G7" s="7">
        <f>IF(G$4=DATE(2026,2,1),'CapEx &amp; Loan'!$C$12,0)</f>
        <v>0.0</v>
      </c>
      <c r="H7" s="7">
        <f>IF(H$4=DATE(2026,2,1),'CapEx &amp; Loan'!$C$12,0)</f>
        <v>0.0</v>
      </c>
      <c r="I7" s="7">
        <f>IF(I$4=DATE(2026,2,1),'CapEx &amp; Loan'!$C$12,0)</f>
        <v>0.0</v>
      </c>
      <c r="J7" s="7">
        <f>IF(J$4=DATE(2026,2,1),'CapEx &amp; Loan'!$C$12,0)</f>
        <v>0.0</v>
      </c>
      <c r="K7" s="7">
        <f>IF(K$4=DATE(2026,2,1),'CapEx &amp; Loan'!$C$12,0)</f>
        <v>0.0</v>
      </c>
      <c r="L7" s="7">
        <f>IF(L$4=DATE(2026,2,1),'CapEx &amp; Loan'!$C$12,0)</f>
        <v>0.0</v>
      </c>
      <c r="M7" s="7">
        <f>IF(M$4=DATE(2026,2,1),'CapEx &amp; Loan'!$C$12,0)</f>
        <v>0.0</v>
      </c>
      <c r="N7" s="7">
        <f>IF(N$4=DATE(2026,2,1),'CapEx &amp; Loan'!$C$12,0)</f>
        <v>0.0</v>
      </c>
      <c r="O7" s="7">
        <f>SUM(C7:N7)</f>
        <v>18000.0</v>
      </c>
    </row>
    <row r="8" spans="2:16">
      <c r="B8" s="11" t="s">
        <v>168</v>
      </c>
      <c r="C8" s="12">
        <f>C6+C7</f>
        <v>57125.0</v>
      </c>
      <c r="D8" s="12">
        <f>D6+D7</f>
        <v>70143.75</v>
      </c>
      <c r="E8" s="12">
        <f>E6+E7</f>
        <v>54768.75</v>
      </c>
      <c r="F8" s="12">
        <f>F6+F7</f>
        <v>60231.25</v>
      </c>
      <c r="G8" s="12">
        <f>G6+G7</f>
        <v>62818.75</v>
      </c>
      <c r="H8" s="12">
        <f>H6+H7</f>
        <v>59800.0</v>
      </c>
      <c r="I8" s="12">
        <f>I6+I7</f>
        <v>52468.75</v>
      </c>
      <c r="J8" s="12">
        <f>J6+J7</f>
        <v>48443.75</v>
      </c>
      <c r="K8" s="12">
        <f>K6+K7</f>
        <v>53043.75</v>
      </c>
      <c r="L8" s="12">
        <f>L6+L7</f>
        <v>59800.0</v>
      </c>
      <c r="M8" s="12">
        <f>M6+M7</f>
        <v>63968.75</v>
      </c>
      <c r="N8" s="12">
        <f>N6+N7</f>
        <v>64543.75</v>
      </c>
      <c r="O8" s="12">
        <f>SUM(C8:N8)</f>
        <v>707156.25</v>
      </c>
    </row>
    <row r="9" spans="2:16">
      <c r="B9" s="15" t="s">
        <v>169</v>
      </c>
    </row>
    <row r="10" spans="2:16">
      <c r="B10" s="3" t="s">
        <v>170</v>
      </c>
      <c r="C10" s="7">
        <f>'Monthly P&amp;L'!C14</f>
        <v>25300.0</v>
      </c>
      <c r="D10" s="7">
        <f>'Monthly P&amp;L'!D14</f>
        <v>25300.0</v>
      </c>
      <c r="E10" s="7">
        <f>'Monthly P&amp;L'!E14</f>
        <v>25300.0</v>
      </c>
      <c r="F10" s="7">
        <f>'Monthly P&amp;L'!F14</f>
        <v>25300.0</v>
      </c>
      <c r="G10" s="7">
        <f>'Monthly P&amp;L'!G14</f>
        <v>25300.0</v>
      </c>
      <c r="H10" s="7">
        <f>'Monthly P&amp;L'!H14</f>
        <v>25300.0</v>
      </c>
      <c r="I10" s="7">
        <f>'Monthly P&amp;L'!I14</f>
        <v>29300.0</v>
      </c>
      <c r="J10" s="7">
        <f>'Monthly P&amp;L'!J14</f>
        <v>29300.0</v>
      </c>
      <c r="K10" s="7">
        <f>'Monthly P&amp;L'!K14</f>
        <v>29300.0</v>
      </c>
      <c r="L10" s="7">
        <f>'Monthly P&amp;L'!L14</f>
        <v>29300.0</v>
      </c>
      <c r="M10" s="7">
        <f>'Monthly P&amp;L'!M14</f>
        <v>29300.0</v>
      </c>
      <c r="N10" s="7">
        <f>'Monthly P&amp;L'!N14</f>
        <v>29300.0</v>
      </c>
      <c r="O10" s="7">
        <f>SUM(C10:N10)</f>
        <v>327600.0</v>
      </c>
    </row>
    <row r="11" spans="2:16">
      <c r="B11" s="3" t="s">
        <v>171</v>
      </c>
      <c r="C11" s="7">
        <f>'Monthly P&amp;L'!C16</f>
        <v>2240.0</v>
      </c>
      <c r="D11" s="7">
        <f>'Monthly P&amp;L'!D16</f>
        <v>2240.0</v>
      </c>
      <c r="E11" s="7">
        <f>'Monthly P&amp;L'!E16</f>
        <v>2240.0</v>
      </c>
      <c r="F11" s="7">
        <f>'Monthly P&amp;L'!F16</f>
        <v>2240.0</v>
      </c>
      <c r="G11" s="7">
        <f>'Monthly P&amp;L'!G16</f>
        <v>2240.0</v>
      </c>
      <c r="H11" s="7">
        <f>'Monthly P&amp;L'!H16</f>
        <v>2240.0</v>
      </c>
      <c r="I11" s="7">
        <f>'Monthly P&amp;L'!I16</f>
        <v>2800.0</v>
      </c>
      <c r="J11" s="7">
        <f>'Monthly P&amp;L'!J16</f>
        <v>2800.0</v>
      </c>
      <c r="K11" s="7">
        <f>'Monthly P&amp;L'!K16</f>
        <v>2800.0</v>
      </c>
      <c r="L11" s="7">
        <f>'Monthly P&amp;L'!L16</f>
        <v>2800.0</v>
      </c>
      <c r="M11" s="7">
        <f>'Monthly P&amp;L'!M16</f>
        <v>2800.0</v>
      </c>
      <c r="N11" s="7">
        <f>'Monthly P&amp;L'!N16</f>
        <v>2800.0</v>
      </c>
      <c r="O11" s="7">
        <f>SUM(C11:N11)</f>
        <v>30240.0</v>
      </c>
    </row>
    <row r="12" spans="2:16">
      <c r="B12" s="3" t="s">
        <v>172</v>
      </c>
      <c r="C12" s="7">
        <f>Assumptions!$C$11</f>
        <v>2403.5</v>
      </c>
      <c r="D12" s="7">
        <f>'Monthly P&amp;L'!C15</f>
        <v>2403.5</v>
      </c>
      <c r="E12" s="7">
        <f>'Monthly P&amp;L'!D15</f>
        <v>2403.5</v>
      </c>
      <c r="F12" s="7">
        <f>'Monthly P&amp;L'!E15</f>
        <v>2403.5</v>
      </c>
      <c r="G12" s="7">
        <f>'Monthly P&amp;L'!F15</f>
        <v>2403.5</v>
      </c>
      <c r="H12" s="7">
        <f>'Monthly P&amp;L'!G15</f>
        <v>2403.5</v>
      </c>
      <c r="I12" s="7">
        <f>'Monthly P&amp;L'!H15</f>
        <v>2403.5</v>
      </c>
      <c r="J12" s="7">
        <f>'Monthly P&amp;L'!I15</f>
        <v>2783.5</v>
      </c>
      <c r="K12" s="7">
        <f>'Monthly P&amp;L'!J15</f>
        <v>2783.5</v>
      </c>
      <c r="L12" s="7">
        <f>'Monthly P&amp;L'!K15</f>
        <v>2783.5</v>
      </c>
      <c r="M12" s="7">
        <f>'Monthly P&amp;L'!L15</f>
        <v>2783.5</v>
      </c>
      <c r="N12" s="7">
        <f>'Monthly P&amp;L'!M15</f>
        <v>2783.5</v>
      </c>
      <c r="O12" s="7">
        <f>SUM(C12:N12)</f>
        <v>30742.0</v>
      </c>
    </row>
    <row r="13" spans="2:16">
      <c r="B13" s="3" t="s">
        <v>173</v>
      </c>
      <c r="C13" s="7">
        <f>'Monthly P&amp;L'!C17</f>
        <v>3900.0</v>
      </c>
      <c r="D13" s="7">
        <f>'Monthly P&amp;L'!D17</f>
        <v>3900.0</v>
      </c>
      <c r="E13" s="7">
        <f>'Monthly P&amp;L'!E17</f>
        <v>3900.0</v>
      </c>
      <c r="F13" s="7">
        <f>'Monthly P&amp;L'!F17</f>
        <v>3900.0</v>
      </c>
      <c r="G13" s="7">
        <f>'Monthly P&amp;L'!G17</f>
        <v>3900.0</v>
      </c>
      <c r="H13" s="7">
        <f>'Monthly P&amp;L'!H17</f>
        <v>3900.0</v>
      </c>
      <c r="I13" s="7">
        <f>'Monthly P&amp;L'!I17</f>
        <v>3900.0</v>
      </c>
      <c r="J13" s="7">
        <f>'Monthly P&amp;L'!J17</f>
        <v>3900.0</v>
      </c>
      <c r="K13" s="7">
        <f>'Monthly P&amp;L'!K17</f>
        <v>3900.0</v>
      </c>
      <c r="L13" s="7">
        <f>'Monthly P&amp;L'!L17</f>
        <v>3900.0</v>
      </c>
      <c r="M13" s="7">
        <f>'Monthly P&amp;L'!M17</f>
        <v>3900.0</v>
      </c>
      <c r="N13" s="7">
        <f>'Monthly P&amp;L'!N17</f>
        <v>3900.0</v>
      </c>
      <c r="O13" s="7">
        <f>SUM(C13:N13)</f>
        <v>46800.0</v>
      </c>
    </row>
    <row r="14" spans="2:16">
      <c r="B14" s="3" t="s">
        <v>174</v>
      </c>
      <c r="C14" s="7">
        <f>'Monthly P&amp;L'!C18</f>
        <v>1400.0</v>
      </c>
      <c r="D14" s="7">
        <f>'Monthly P&amp;L'!D18</f>
        <v>1400.0</v>
      </c>
      <c r="E14" s="7">
        <f>'Monthly P&amp;L'!E18</f>
        <v>1400.0</v>
      </c>
      <c r="F14" s="7">
        <f>'Monthly P&amp;L'!F18</f>
        <v>1400.0</v>
      </c>
      <c r="G14" s="7">
        <f>'Monthly P&amp;L'!G18</f>
        <v>1400.0</v>
      </c>
      <c r="H14" s="7">
        <f>'Monthly P&amp;L'!H18</f>
        <v>1400.0</v>
      </c>
      <c r="I14" s="7">
        <f>'Monthly P&amp;L'!I18</f>
        <v>1750.0</v>
      </c>
      <c r="J14" s="7">
        <f>'Monthly P&amp;L'!J18</f>
        <v>1750.0</v>
      </c>
      <c r="K14" s="7">
        <f>'Monthly P&amp;L'!K18</f>
        <v>1750.0</v>
      </c>
      <c r="L14" s="7">
        <f>'Monthly P&amp;L'!L18</f>
        <v>1750.0</v>
      </c>
      <c r="M14" s="7">
        <f>'Monthly P&amp;L'!M18</f>
        <v>1750.0</v>
      </c>
      <c r="N14" s="7">
        <f>'Monthly P&amp;L'!N18</f>
        <v>1750.0</v>
      </c>
      <c r="O14" s="7">
        <f>SUM(C14:N14)</f>
        <v>18900.0</v>
      </c>
    </row>
    <row r="15" spans="2:16">
      <c r="B15" s="3" t="s">
        <v>175</v>
      </c>
      <c r="C15" s="7">
        <f>Assumptions!$F$22*'Operating Expenses'!C15+(1-Assumptions!$F$22)*Assumptions!$C$10</f>
        <v>11097.5</v>
      </c>
      <c r="D15" s="7">
        <f>Assumptions!$F$22*'Operating Expenses'!D15+(1-Assumptions!$F$22)*'Operating Expenses'!C15</f>
        <v>12007.5</v>
      </c>
      <c r="E15" s="7">
        <f>Assumptions!$F$22*'Operating Expenses'!E15+(1-Assumptions!$F$22)*'Operating Expenses'!D15</f>
        <v>18677.5</v>
      </c>
      <c r="F15" s="7">
        <f>Assumptions!$F$22*'Operating Expenses'!F15+(1-Assumptions!$F$22)*'Operating Expenses'!E15</f>
        <v>16277.5</v>
      </c>
      <c r="G15" s="7">
        <f>Assumptions!$F$22*'Operating Expenses'!G15+(1-Assumptions!$F$22)*'Operating Expenses'!F15</f>
        <v>14050.0</v>
      </c>
      <c r="H15" s="7">
        <f>Assumptions!$F$22*'Operating Expenses'!H15+(1-Assumptions!$F$22)*'Operating Expenses'!G15</f>
        <v>13052.5</v>
      </c>
      <c r="I15" s="7">
        <f>Assumptions!$F$22*'Operating Expenses'!I15+(1-Assumptions!$F$22)*'Operating Expenses'!H15</f>
        <v>11627.5</v>
      </c>
      <c r="J15" s="7">
        <f>Assumptions!$F$22*'Operating Expenses'!J15+(1-Assumptions!$F$22)*'Operating Expenses'!I15</f>
        <v>11532.5</v>
      </c>
      <c r="K15" s="7">
        <f>Assumptions!$F$22*'Operating Expenses'!K15+(1-Assumptions!$F$22)*'Operating Expenses'!J15</f>
        <v>14195.0</v>
      </c>
      <c r="L15" s="7">
        <f>Assumptions!$F$22*'Operating Expenses'!L15+(1-Assumptions!$F$22)*'Operating Expenses'!K15</f>
        <v>15467.5</v>
      </c>
      <c r="M15" s="7">
        <f>Assumptions!$F$22*'Operating Expenses'!M15+(1-Assumptions!$F$22)*'Operating Expenses'!L15</f>
        <v>15882.5</v>
      </c>
      <c r="N15" s="7">
        <f>Assumptions!$F$22*'Operating Expenses'!N15+(1-Assumptions!$F$22)*'Operating Expenses'!M15</f>
        <v>14642.5</v>
      </c>
      <c r="O15" s="7">
        <f>SUM(C15:N15)</f>
        <v>168510.0</v>
      </c>
    </row>
    <row r="16" spans="2:16">
      <c r="B16" s="3" t="s">
        <v>176</v>
      </c>
      <c r="C16" s="7">
        <f>SUMIFS('CapEx &amp; Loan'!$G$5:$G$8,'CapEx &amp; Loan'!$C$5:$C$8,"&gt;="&amp;C$4,'CapEx &amp; Loan'!$C$5:$C$8,"&lt;="&amp;EOMONTH(C$4,0))</f>
        <v>8400.0</v>
      </c>
      <c r="D16" s="7">
        <f>SUMIFS('CapEx &amp; Loan'!$G$5:$G$8,'CapEx &amp; Loan'!$C$5:$C$8,"&gt;="&amp;D$4,'CapEx &amp; Loan'!$C$5:$C$8,"&lt;="&amp;EOMONTH(D$4,0))</f>
        <v>21600.0</v>
      </c>
      <c r="E16" s="7">
        <f>SUMIFS('CapEx &amp; Loan'!$G$5:$G$8,'CapEx &amp; Loan'!$C$5:$C$8,"&gt;="&amp;E$4,'CapEx &amp; Loan'!$C$5:$C$8,"&lt;="&amp;EOMONTH(E$4,0))</f>
        <v>0.0</v>
      </c>
      <c r="F16" s="7">
        <f>SUMIFS('CapEx &amp; Loan'!$G$5:$G$8,'CapEx &amp; Loan'!$C$5:$C$8,"&gt;="&amp;F$4,'CapEx &amp; Loan'!$C$5:$C$8,"&lt;="&amp;EOMONTH(F$4,0))</f>
        <v>0.0</v>
      </c>
      <c r="G16" s="7">
        <f>SUMIFS('CapEx &amp; Loan'!$G$5:$G$8,'CapEx &amp; Loan'!$C$5:$C$8,"&gt;="&amp;G$4,'CapEx &amp; Loan'!$C$5:$C$8,"&lt;="&amp;EOMONTH(G$4,0))</f>
        <v>0.0</v>
      </c>
      <c r="H16" s="7">
        <f>SUMIFS('CapEx &amp; Loan'!$G$5:$G$8,'CapEx &amp; Loan'!$C$5:$C$8,"&gt;="&amp;H$4,'CapEx &amp; Loan'!$C$5:$C$8,"&lt;="&amp;EOMONTH(H$4,0))</f>
        <v>0.0</v>
      </c>
      <c r="I16" s="7">
        <f>SUMIFS('CapEx &amp; Loan'!$G$5:$G$8,'CapEx &amp; Loan'!$C$5:$C$8,"&gt;="&amp;I$4,'CapEx &amp; Loan'!$C$5:$C$8,"&lt;="&amp;EOMONTH(I$4,0))</f>
        <v>0.0</v>
      </c>
      <c r="J16" s="7">
        <f>SUMIFS('CapEx &amp; Loan'!$G$5:$G$8,'CapEx &amp; Loan'!$C$5:$C$8,"&gt;="&amp;J$4,'CapEx &amp; Loan'!$C$5:$C$8,"&lt;="&amp;EOMONTH(J$4,0))</f>
        <v>0.0</v>
      </c>
      <c r="K16" s="7">
        <f>SUMIFS('CapEx &amp; Loan'!$G$5:$G$8,'CapEx &amp; Loan'!$C$5:$C$8,"&gt;="&amp;K$4,'CapEx &amp; Loan'!$C$5:$C$8,"&lt;="&amp;EOMONTH(K$4,0))</f>
        <v>6300.0</v>
      </c>
      <c r="L16" s="7">
        <f>SUMIFS('CapEx &amp; Loan'!$G$5:$G$8,'CapEx &amp; Loan'!$C$5:$C$8,"&gt;="&amp;L$4,'CapEx &amp; Loan'!$C$5:$C$8,"&lt;="&amp;EOMONTH(L$4,0))</f>
        <v>0.0</v>
      </c>
      <c r="M16" s="7">
        <f>SUMIFS('CapEx &amp; Loan'!$G$5:$G$8,'CapEx &amp; Loan'!$C$5:$C$8,"&gt;="&amp;M$4,'CapEx &amp; Loan'!$C$5:$C$8,"&lt;="&amp;EOMONTH(M$4,0))</f>
        <v>0.0</v>
      </c>
      <c r="N16" s="7">
        <f>SUMIFS('CapEx &amp; Loan'!$G$5:$G$8,'CapEx &amp; Loan'!$C$5:$C$8,"&gt;="&amp;N$4,'CapEx &amp; Loan'!$C$5:$C$8,"&lt;="&amp;EOMONTH(N$4,0))</f>
        <v>0.0</v>
      </c>
      <c r="O16" s="7">
        <f>SUM(C16:N16)</f>
        <v>36300.0</v>
      </c>
    </row>
    <row r="17" spans="2:15">
      <c r="B17" s="3" t="s">
        <v>177</v>
      </c>
      <c r="C17" s="7">
        <f>SUMIFS('CapEx &amp; Loan'!$D$17:$D$52,'CapEx &amp; Loan'!$C$17:$C$52,"&gt;="&amp;C$4,'CapEx &amp; Loan'!$C$17:$C$52,"&lt;="&amp;EOMONTH(C$4,0))</f>
        <v>0.0</v>
      </c>
      <c r="D17" s="7">
        <f>SUMIFS('CapEx &amp; Loan'!$D$17:$D$52,'CapEx &amp; Loan'!$C$17:$C$52,"&gt;="&amp;D$4,'CapEx &amp; Loan'!$C$17:$C$52,"&lt;="&amp;EOMONTH(D$4,0))</f>
        <v>0.0</v>
      </c>
      <c r="E17" s="7">
        <f>SUMIFS('CapEx &amp; Loan'!$D$17:$D$52,'CapEx &amp; Loan'!$C$17:$C$52,"&gt;="&amp;E$4,'CapEx &amp; Loan'!$C$17:$C$52,"&lt;="&amp;EOMONTH(E$4,0))</f>
        <v>559.91</v>
      </c>
      <c r="F17" s="7">
        <f>SUMIFS('CapEx &amp; Loan'!$D$17:$D$52,'CapEx &amp; Loan'!$C$17:$C$52,"&gt;="&amp;F$4,'CapEx &amp; Loan'!$C$17:$C$52,"&lt;="&amp;EOMONTH(F$4,0))</f>
        <v>559.91</v>
      </c>
      <c r="G17" s="7">
        <f>SUMIFS('CapEx &amp; Loan'!$D$17:$D$52,'CapEx &amp; Loan'!$C$17:$C$52,"&gt;="&amp;G$4,'CapEx &amp; Loan'!$C$17:$C$52,"&lt;="&amp;EOMONTH(G$4,0))</f>
        <v>559.91</v>
      </c>
      <c r="H17" s="7">
        <f>SUMIFS('CapEx &amp; Loan'!$D$17:$D$52,'CapEx &amp; Loan'!$C$17:$C$52,"&gt;="&amp;H$4,'CapEx &amp; Loan'!$C$17:$C$52,"&lt;="&amp;EOMONTH(H$4,0))</f>
        <v>559.91</v>
      </c>
      <c r="I17" s="7">
        <f>SUMIFS('CapEx &amp; Loan'!$D$17:$D$52,'CapEx &amp; Loan'!$C$17:$C$52,"&gt;="&amp;I$4,'CapEx &amp; Loan'!$C$17:$C$52,"&lt;="&amp;EOMONTH(I$4,0))</f>
        <v>559.91</v>
      </c>
      <c r="J17" s="7">
        <f>SUMIFS('CapEx &amp; Loan'!$D$17:$D$52,'CapEx &amp; Loan'!$C$17:$C$52,"&gt;="&amp;J$4,'CapEx &amp; Loan'!$C$17:$C$52,"&lt;="&amp;EOMONTH(J$4,0))</f>
        <v>559.91</v>
      </c>
      <c r="K17" s="7">
        <f>SUMIFS('CapEx &amp; Loan'!$D$17:$D$52,'CapEx &amp; Loan'!$C$17:$C$52,"&gt;="&amp;K$4,'CapEx &amp; Loan'!$C$17:$C$52,"&lt;="&amp;EOMONTH(K$4,0))</f>
        <v>559.91</v>
      </c>
      <c r="L17" s="7">
        <f>SUMIFS('CapEx &amp; Loan'!$D$17:$D$52,'CapEx &amp; Loan'!$C$17:$C$52,"&gt;="&amp;L$4,'CapEx &amp; Loan'!$C$17:$C$52,"&lt;="&amp;EOMONTH(L$4,0))</f>
        <v>559.91</v>
      </c>
      <c r="M17" s="7">
        <f>SUMIFS('CapEx &amp; Loan'!$D$17:$D$52,'CapEx &amp; Loan'!$C$17:$C$52,"&gt;="&amp;M$4,'CapEx &amp; Loan'!$C$17:$C$52,"&lt;="&amp;EOMONTH(M$4,0))</f>
        <v>559.91</v>
      </c>
      <c r="N17" s="7">
        <f>SUMIFS('CapEx &amp; Loan'!$D$17:$D$52,'CapEx &amp; Loan'!$C$17:$C$52,"&gt;="&amp;N$4,'CapEx &amp; Loan'!$C$17:$C$52,"&lt;="&amp;EOMONTH(N$4,0))</f>
        <v>559.91</v>
      </c>
      <c r="O17" s="7">
        <f>SUM(C17:N17)</f>
        <v>5599.1</v>
      </c>
    </row>
    <row r="18" spans="2:15">
      <c r="B18" s="11" t="s">
        <v>178</v>
      </c>
      <c r="C18" s="12">
        <f>SUM(C10:C17)</f>
        <v>54741.0</v>
      </c>
      <c r="D18" s="12">
        <f>SUM(D10:D17)</f>
        <v>68851.0</v>
      </c>
      <c r="E18" s="12">
        <f>SUM(E10:E17)</f>
        <v>54480.91</v>
      </c>
      <c r="F18" s="12">
        <f>SUM(F10:F17)</f>
        <v>52080.91</v>
      </c>
      <c r="G18" s="12">
        <f>SUM(G10:G17)</f>
        <v>49853.41</v>
      </c>
      <c r="H18" s="12">
        <f>SUM(H10:H17)</f>
        <v>48855.91</v>
      </c>
      <c r="I18" s="12">
        <f>SUM(I10:I17)</f>
        <v>52340.91</v>
      </c>
      <c r="J18" s="12">
        <f>SUM(J10:J17)</f>
        <v>52625.91</v>
      </c>
      <c r="K18" s="12">
        <f>SUM(K10:K17)</f>
        <v>61588.41</v>
      </c>
      <c r="L18" s="12">
        <f>SUM(L10:L17)</f>
        <v>56560.91</v>
      </c>
      <c r="M18" s="12">
        <f>SUM(M10:M17)</f>
        <v>56975.91</v>
      </c>
      <c r="N18" s="12">
        <f>SUM(N10:N17)</f>
        <v>55735.91</v>
      </c>
      <c r="O18" s="12">
        <f>SUM(C18:N18)</f>
        <v>664691.1</v>
      </c>
    </row>
    <row r="19" spans="2:15">
      <c r="B19" s="11" t="s">
        <v>179</v>
      </c>
      <c r="C19" s="12">
        <f>C8-C18</f>
        <v>2384.0</v>
      </c>
      <c r="D19" s="12">
        <f>D8-D18</f>
        <v>1292.75</v>
      </c>
      <c r="E19" s="12">
        <f>E8-E18</f>
        <v>287.8399999999965</v>
      </c>
      <c r="F19" s="12">
        <f>F8-F18</f>
        <v>8150.3399999999965</v>
      </c>
      <c r="G19" s="12">
        <f>G8-G18</f>
        <v>12965.339999999997</v>
      </c>
      <c r="H19" s="12">
        <f>H8-H18</f>
        <v>10944.089999999997</v>
      </c>
      <c r="I19" s="12">
        <f>I8-I18</f>
        <v>127.83999999999651</v>
      </c>
      <c r="J19" s="12">
        <f>J8-J18</f>
        <v>-4182.1600000000035</v>
      </c>
      <c r="K19" s="12">
        <f>K8-K18</f>
        <v>-8544.660000000003</v>
      </c>
      <c r="L19" s="12">
        <f>L8-L18</f>
        <v>3239.0899999999965</v>
      </c>
      <c r="M19" s="12">
        <f>M8-M18</f>
        <v>6992.8399999999965</v>
      </c>
      <c r="N19" s="12">
        <f>N8-N18</f>
        <v>8807.839999999997</v>
      </c>
      <c r="O19" s="12">
        <f>SUM(C19:N19)</f>
        <v>42465.15</v>
      </c>
    </row>
  </sheetData>
  <mergeCells count="1">
    <mergeCell ref="B2:P2"/>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2:P13"/>
  <sheetViews>
    <sheetView workbookViewId="0">
      <pane ySplit="4" topLeftCell="A5" activePane="bottomLeft" state="frozen"/>
      <selection pane="bottomLeft"/>
    </sheetView>
  </sheetViews>
  <sheetFormatPr defaultRowHeight="15"/>
  <cols>
    <col min="2" max="2" width="30.7109375" customWidth="1"/>
    <col min="3" max="14" width="12.7109375" customWidth="1"/>
    <col min="15" max="15" width="13.7109375" customWidth="1"/>
  </cols>
  <sheetData>
    <row r="2" spans="2:16">
      <c r="B2" s="1" t="s">
        <v>180</v>
      </c>
      <c r="C2" s="1"/>
      <c r="D2" s="1"/>
      <c r="E2" s="1"/>
      <c r="F2" s="1"/>
      <c r="G2" s="1"/>
      <c r="H2" s="1"/>
      <c r="I2" s="1"/>
      <c r="J2" s="1"/>
      <c r="K2" s="1"/>
      <c r="L2" s="1"/>
      <c r="M2" s="1"/>
      <c r="N2" s="1"/>
      <c r="O2" s="1"/>
      <c r="P2" s="1"/>
    </row>
    <row r="4" spans="2:16" ht="28" customHeight="1">
      <c r="B4" s="2" t="s">
        <v>89</v>
      </c>
      <c r="C4" s="14">
        <v>46023</v>
      </c>
      <c r="D4" s="14">
        <v>46054</v>
      </c>
      <c r="E4" s="14">
        <v>46082</v>
      </c>
      <c r="F4" s="14">
        <v>46113</v>
      </c>
      <c r="G4" s="14">
        <v>46143</v>
      </c>
      <c r="H4" s="14">
        <v>46174</v>
      </c>
      <c r="I4" s="14">
        <v>46204</v>
      </c>
      <c r="J4" s="14">
        <v>46235</v>
      </c>
      <c r="K4" s="14">
        <v>46266</v>
      </c>
      <c r="L4" s="14">
        <v>46296</v>
      </c>
      <c r="M4" s="14">
        <v>46327</v>
      </c>
      <c r="N4" s="14">
        <v>46357</v>
      </c>
      <c r="O4" s="2" t="s">
        <v>90</v>
      </c>
    </row>
    <row r="5" spans="2:16">
      <c r="B5" s="3" t="s">
        <v>181</v>
      </c>
      <c r="C5" s="7">
        <f>Assumptions!$C$6</f>
        <v>38000.0</v>
      </c>
      <c r="D5" s="7">
        <f>C8</f>
        <v>40384.0</v>
      </c>
      <c r="E5" s="7">
        <f>D8</f>
        <v>41676.75</v>
      </c>
      <c r="F5" s="7">
        <f>E8</f>
        <v>41964.59</v>
      </c>
      <c r="G5" s="7">
        <f>F8</f>
        <v>50114.92999999999</v>
      </c>
      <c r="H5" s="7">
        <f>G8</f>
        <v>63080.26999999999</v>
      </c>
      <c r="I5" s="7">
        <f>H8</f>
        <v>74024.35999999999</v>
      </c>
      <c r="J5" s="7">
        <f>I8</f>
        <v>74152.19999999998</v>
      </c>
      <c r="K5" s="7">
        <f>J8</f>
        <v>69970.03999999998</v>
      </c>
      <c r="L5" s="7">
        <f>K8</f>
        <v>61425.379999999976</v>
      </c>
      <c r="M5" s="7">
        <f>L8</f>
        <v>64664.46999999997</v>
      </c>
      <c r="N5" s="7">
        <f>M8</f>
        <v>71657.30999999997</v>
      </c>
      <c r="O5" s="7">
        <f>C5</f>
        <v>38000.0</v>
      </c>
    </row>
    <row r="6" spans="2:16">
      <c r="B6" s="3" t="s">
        <v>168</v>
      </c>
      <c r="C6" s="7">
        <f>'Cash Flow'!C8</f>
        <v>57125.0</v>
      </c>
      <c r="D6" s="7">
        <f>'Cash Flow'!D8</f>
        <v>70143.75</v>
      </c>
      <c r="E6" s="7">
        <f>'Cash Flow'!E8</f>
        <v>54768.75</v>
      </c>
      <c r="F6" s="7">
        <f>'Cash Flow'!F8</f>
        <v>60231.25</v>
      </c>
      <c r="G6" s="7">
        <f>'Cash Flow'!G8</f>
        <v>62818.75</v>
      </c>
      <c r="H6" s="7">
        <f>'Cash Flow'!H8</f>
        <v>59800.0</v>
      </c>
      <c r="I6" s="7">
        <f>'Cash Flow'!I8</f>
        <v>52468.75</v>
      </c>
      <c r="J6" s="7">
        <f>'Cash Flow'!J8</f>
        <v>48443.75</v>
      </c>
      <c r="K6" s="7">
        <f>'Cash Flow'!K8</f>
        <v>53043.75</v>
      </c>
      <c r="L6" s="7">
        <f>'Cash Flow'!L8</f>
        <v>59800.0</v>
      </c>
      <c r="M6" s="7">
        <f>'Cash Flow'!M8</f>
        <v>63968.75</v>
      </c>
      <c r="N6" s="7">
        <f>'Cash Flow'!N8</f>
        <v>64543.75</v>
      </c>
      <c r="O6" s="7">
        <f>SUM(C6:N6)</f>
        <v>707156.25</v>
      </c>
    </row>
    <row r="7" spans="2:16">
      <c r="B7" s="3" t="s">
        <v>178</v>
      </c>
      <c r="C7" s="7">
        <f>'Cash Flow'!C18</f>
        <v>54741.0</v>
      </c>
      <c r="D7" s="7">
        <f>'Cash Flow'!D18</f>
        <v>68851.0</v>
      </c>
      <c r="E7" s="7">
        <f>'Cash Flow'!E18</f>
        <v>54480.91</v>
      </c>
      <c r="F7" s="7">
        <f>'Cash Flow'!F18</f>
        <v>52080.91</v>
      </c>
      <c r="G7" s="7">
        <f>'Cash Flow'!G18</f>
        <v>49853.41</v>
      </c>
      <c r="H7" s="7">
        <f>'Cash Flow'!H18</f>
        <v>48855.91</v>
      </c>
      <c r="I7" s="7">
        <f>'Cash Flow'!I18</f>
        <v>52340.91</v>
      </c>
      <c r="J7" s="7">
        <f>'Cash Flow'!J18</f>
        <v>52625.91</v>
      </c>
      <c r="K7" s="7">
        <f>'Cash Flow'!K18</f>
        <v>61588.41</v>
      </c>
      <c r="L7" s="7">
        <f>'Cash Flow'!L18</f>
        <v>56560.91</v>
      </c>
      <c r="M7" s="7">
        <f>'Cash Flow'!M18</f>
        <v>56975.91</v>
      </c>
      <c r="N7" s="7">
        <f>'Cash Flow'!N18</f>
        <v>55735.91</v>
      </c>
      <c r="O7" s="7">
        <f>SUM(C7:N7)</f>
        <v>664691.1</v>
      </c>
    </row>
    <row r="8" spans="2:16">
      <c r="B8" s="11" t="s">
        <v>182</v>
      </c>
      <c r="C8" s="12">
        <f>C5+C6-C7</f>
        <v>40384.0</v>
      </c>
      <c r="D8" s="12">
        <f>D5+D6-D7</f>
        <v>41676.75</v>
      </c>
      <c r="E8" s="12">
        <f>E5+E6-E7</f>
        <v>41964.59</v>
      </c>
      <c r="F8" s="12">
        <f>F5+F6-F7</f>
        <v>50114.92999999999</v>
      </c>
      <c r="G8" s="12">
        <f>G5+G6-G7</f>
        <v>63080.26999999999</v>
      </c>
      <c r="H8" s="12">
        <f>H5+H6-H7</f>
        <v>74024.35999999999</v>
      </c>
      <c r="I8" s="12">
        <f>I5+I6-I7</f>
        <v>74152.19999999998</v>
      </c>
      <c r="J8" s="12">
        <f>J5+J6-J7</f>
        <v>69970.03999999998</v>
      </c>
      <c r="K8" s="12">
        <f>K5+K6-K7</f>
        <v>61425.379999999976</v>
      </c>
      <c r="L8" s="12">
        <f>L5+L6-L7</f>
        <v>64664.46999999997</v>
      </c>
      <c r="M8" s="12">
        <f>M5+M6-M7</f>
        <v>71657.30999999997</v>
      </c>
      <c r="N8" s="12">
        <f>N5+N6-N7</f>
        <v>80465.14999999997</v>
      </c>
      <c r="O8" s="12">
        <f>N8</f>
        <v>80465.15</v>
      </c>
    </row>
    <row r="9" spans="2:16">
      <c r="B9" s="3" t="s">
        <v>30</v>
      </c>
      <c r="C9" s="7">
        <f>Assumptions!$C$7</f>
        <v>30000.0</v>
      </c>
      <c r="D9" s="7">
        <f>Assumptions!$C$7</f>
        <v>30000.0</v>
      </c>
      <c r="E9" s="7">
        <f>Assumptions!$C$7</f>
        <v>30000.0</v>
      </c>
      <c r="F9" s="7">
        <f>Assumptions!$C$7</f>
        <v>30000.0</v>
      </c>
      <c r="G9" s="7">
        <f>Assumptions!$C$7</f>
        <v>30000.0</v>
      </c>
      <c r="H9" s="7">
        <f>Assumptions!$C$7</f>
        <v>30000.0</v>
      </c>
      <c r="I9" s="7">
        <f>Assumptions!$C$7</f>
        <v>30000.0</v>
      </c>
      <c r="J9" s="7">
        <f>Assumptions!$C$7</f>
        <v>30000.0</v>
      </c>
      <c r="K9" s="7">
        <f>Assumptions!$C$7</f>
        <v>30000.0</v>
      </c>
      <c r="L9" s="7">
        <f>Assumptions!$C$7</f>
        <v>30000.0</v>
      </c>
      <c r="M9" s="7">
        <f>Assumptions!$C$7</f>
        <v>30000.0</v>
      </c>
      <c r="N9" s="7">
        <f>Assumptions!$C$7</f>
        <v>30000.0</v>
      </c>
      <c r="O9" s="7">
        <f>Assumptions!$C$7</f>
        <v>30000.0</v>
      </c>
    </row>
    <row r="10" spans="2:16">
      <c r="B10" s="3" t="s">
        <v>183</v>
      </c>
      <c r="C10" s="7">
        <f>C8-C9</f>
        <v>10384.0</v>
      </c>
      <c r="D10" s="7">
        <f>D8-D9</f>
        <v>11676.75</v>
      </c>
      <c r="E10" s="7">
        <f>E8-E9</f>
        <v>11964.589999999997</v>
      </c>
      <c r="F10" s="7">
        <f>F8-F9</f>
        <v>20114.929999999993</v>
      </c>
      <c r="G10" s="7">
        <f>G8-G9</f>
        <v>33080.26999999999</v>
      </c>
      <c r="H10" s="7">
        <f>H8-H9</f>
        <v>44024.359999999986</v>
      </c>
      <c r="I10" s="7">
        <f>I8-I9</f>
        <v>44152.19999999998</v>
      </c>
      <c r="J10" s="7">
        <f>J8-J9</f>
        <v>39970.03999999998</v>
      </c>
      <c r="K10" s="7">
        <f>K8-K9</f>
        <v>31425.379999999976</v>
      </c>
      <c r="L10" s="7">
        <f>L8-L9</f>
        <v>34664.46999999997</v>
      </c>
      <c r="M10" s="7">
        <f>M8-M9</f>
        <v>41657.30999999997</v>
      </c>
      <c r="N10" s="7">
        <f>N8-N9</f>
        <v>50465.149999999965</v>
      </c>
      <c r="O10" s="7">
        <f>N10</f>
        <v>50465.15</v>
      </c>
    </row>
    <row r="11" spans="2:16">
      <c r="B11" s="3" t="s">
        <v>184</v>
      </c>
      <c r="C11" s="17" t="str">
        <f>IF(C8&lt;C9,"BELOW MINIMUM","OK")</f>
        <v>OK</v>
      </c>
      <c r="D11" s="17" t="str">
        <f>IF(D8&lt;D9,"BELOW MINIMUM","OK")</f>
        <v>OK</v>
      </c>
      <c r="E11" s="17" t="str">
        <f>IF(E8&lt;E9,"BELOW MINIMUM","OK")</f>
        <v>OK</v>
      </c>
      <c r="F11" s="17" t="str">
        <f>IF(F8&lt;F9,"BELOW MINIMUM","OK")</f>
        <v>OK</v>
      </c>
      <c r="G11" s="17" t="str">
        <f>IF(G8&lt;G9,"BELOW MINIMUM","OK")</f>
        <v>OK</v>
      </c>
      <c r="H11" s="17" t="str">
        <f>IF(H8&lt;H9,"BELOW MINIMUM","OK")</f>
        <v>OK</v>
      </c>
      <c r="I11" s="17" t="str">
        <f>IF(I8&lt;I9,"BELOW MINIMUM","OK")</f>
        <v>OK</v>
      </c>
      <c r="J11" s="17" t="str">
        <f>IF(J8&lt;J9,"BELOW MINIMUM","OK")</f>
        <v>OK</v>
      </c>
      <c r="K11" s="17" t="str">
        <f>IF(K8&lt;K9,"BELOW MINIMUM","OK")</f>
        <v>OK</v>
      </c>
      <c r="L11" s="17" t="str">
        <f>IF(L8&lt;L9,"BELOW MINIMUM","OK")</f>
        <v>OK</v>
      </c>
      <c r="M11" s="17" t="str">
        <f>IF(M8&lt;M9,"BELOW MINIMUM","OK")</f>
        <v>OK</v>
      </c>
      <c r="N11" s="17" t="str">
        <f>IF(N8&lt;N9,"BELOW MINIMUM","OK")</f>
        <v>OK</v>
      </c>
      <c r="O11" s="17" t="str">
        <f>N11</f>
        <v>OK</v>
      </c>
    </row>
    <row r="12" spans="2:16">
      <c r="B12" s="15" t="s">
        <v>185</v>
      </c>
    </row>
    <row r="13" spans="2:16">
      <c r="B13" s="3" t="s">
        <v>179</v>
      </c>
      <c r="C13" s="7">
        <f>'Cash Flow'!C19</f>
        <v>2384.0</v>
      </c>
      <c r="D13" s="7">
        <f>'Cash Flow'!D19</f>
        <v>1292.75</v>
      </c>
      <c r="E13" s="7">
        <f>'Cash Flow'!E19</f>
        <v>287.8399999999965</v>
      </c>
      <c r="F13" s="7">
        <f>'Cash Flow'!F19</f>
        <v>8150.3399999999965</v>
      </c>
      <c r="G13" s="7">
        <f>'Cash Flow'!G19</f>
        <v>12965.339999999997</v>
      </c>
      <c r="H13" s="7">
        <f>'Cash Flow'!H19</f>
        <v>10944.089999999997</v>
      </c>
      <c r="I13" s="7">
        <f>'Cash Flow'!I19</f>
        <v>127.83999999999651</v>
      </c>
      <c r="J13" s="7">
        <f>'Cash Flow'!J19</f>
        <v>-4182.1600000000035</v>
      </c>
      <c r="K13" s="7">
        <f>'Cash Flow'!K19</f>
        <v>-8544.660000000003</v>
      </c>
      <c r="L13" s="7">
        <f>'Cash Flow'!L19</f>
        <v>3239.0899999999965</v>
      </c>
      <c r="M13" s="7">
        <f>'Cash Flow'!M19</f>
        <v>6992.8399999999965</v>
      </c>
      <c r="N13" s="7">
        <f>'Cash Flow'!N19</f>
        <v>8807.839999999997</v>
      </c>
      <c r="O13" s="7">
        <f>SUM(C13:N13)</f>
        <v>42465.15</v>
      </c>
    </row>
  </sheetData>
  <mergeCells count="1">
    <mergeCell ref="B2:P2"/>
  </mergeCells>
  <conditionalFormatting sqref="C11:N11">
    <cfRule type="cellIs" dxfId="0" priority="1" operator="equal">
      <formula>"BELOW MINIMUM"</formula>
    </cfRule>
    <cfRule type="cellIs" dxfId="1" priority="2" operator="equal">
      <formula>"OK"</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B2:O11"/>
  <sheetViews>
    <sheetView workbookViewId="0">
      <pane ySplit="4" topLeftCell="A5" activePane="bottomLeft" state="frozen"/>
      <selection pane="bottomLeft"/>
    </sheetView>
  </sheetViews>
  <sheetFormatPr defaultRowHeight="15"/>
  <cols>
    <col min="2" max="2" width="28.7109375" customWidth="1"/>
    <col min="3" max="14" width="12.7109375" customWidth="1"/>
  </cols>
  <sheetData>
    <row r="2" spans="2:15">
      <c r="B2" s="1" t="s">
        <v>186</v>
      </c>
      <c r="C2" s="1"/>
      <c r="D2" s="1"/>
      <c r="E2" s="1"/>
      <c r="F2" s="1"/>
      <c r="G2" s="1"/>
      <c r="H2" s="1"/>
      <c r="I2" s="1"/>
      <c r="J2" s="1"/>
      <c r="K2" s="1"/>
      <c r="L2" s="1"/>
      <c r="M2" s="1"/>
      <c r="N2" s="1"/>
      <c r="O2" s="1"/>
    </row>
    <row r="4" spans="2:15" ht="28" customHeight="1">
      <c r="B4" s="2" t="s">
        <v>89</v>
      </c>
      <c r="C4" s="2" t="s">
        <v>187</v>
      </c>
      <c r="D4" s="2" t="s">
        <v>188</v>
      </c>
      <c r="E4" s="2" t="s">
        <v>189</v>
      </c>
      <c r="F4" s="2" t="s">
        <v>190</v>
      </c>
      <c r="G4" s="2" t="s">
        <v>191</v>
      </c>
      <c r="H4" s="2" t="s">
        <v>192</v>
      </c>
      <c r="I4" s="2" t="s">
        <v>193</v>
      </c>
      <c r="J4" s="2" t="s">
        <v>194</v>
      </c>
      <c r="K4" s="2" t="s">
        <v>195</v>
      </c>
      <c r="L4" s="2" t="s">
        <v>196</v>
      </c>
      <c r="M4" s="2" t="s">
        <v>197</v>
      </c>
      <c r="N4" s="2" t="s">
        <v>198</v>
      </c>
    </row>
    <row r="5" spans="2:15">
      <c r="B5" s="3" t="s">
        <v>149</v>
      </c>
      <c r="C5" s="4">
        <v>50400</v>
      </c>
      <c r="D5" s="7">
        <f>'Monthly P&amp;L'!C8</f>
        <v>48875.0</v>
      </c>
      <c r="E5" s="7">
        <f>C5-D5</f>
        <v>1525.0</v>
      </c>
      <c r="F5" s="4">
        <v>49700</v>
      </c>
      <c r="G5" s="7">
        <f>'Monthly P&amp;L'!D8</f>
        <v>51750.0</v>
      </c>
      <c r="H5" s="7">
        <f>F5-G5</f>
        <v>-2050.0</v>
      </c>
      <c r="I5" s="4">
        <v>62100</v>
      </c>
      <c r="J5" s="7">
        <f>'Monthly P&amp;L'!E8</f>
        <v>60375.0</v>
      </c>
      <c r="K5" s="7">
        <f>I5-J5</f>
        <v>1725.0</v>
      </c>
      <c r="L5" s="7">
        <f>C5+F5+I5</f>
        <v>162200.0</v>
      </c>
      <c r="M5" s="7">
        <f>D5+G5+J5</f>
        <v>161000.0</v>
      </c>
      <c r="N5" s="7">
        <f>L5-M5</f>
        <v>1200.0</v>
      </c>
    </row>
    <row r="6" spans="2:15">
      <c r="B6" s="3" t="s">
        <v>108</v>
      </c>
      <c r="C6" s="4">
        <v>8350</v>
      </c>
      <c r="D6" s="7">
        <f>'Monthly P&amp;L'!C10</f>
        <v>8075.0</v>
      </c>
      <c r="E6" s="7">
        <f>C6-D6</f>
        <v>275.0</v>
      </c>
      <c r="F6" s="4">
        <v>8900</v>
      </c>
      <c r="G6" s="7">
        <f>'Monthly P&amp;L'!D10</f>
        <v>8550.0</v>
      </c>
      <c r="H6" s="7">
        <f>F6-G6</f>
        <v>350.0</v>
      </c>
      <c r="I6" s="4">
        <v>10480</v>
      </c>
      <c r="J6" s="7">
        <f>'Monthly P&amp;L'!E10</f>
        <v>9975.0</v>
      </c>
      <c r="K6" s="7">
        <f>I6-J6</f>
        <v>505.0</v>
      </c>
      <c r="L6" s="7">
        <f>C6+F6+I6</f>
        <v>27730.0</v>
      </c>
      <c r="M6" s="7">
        <f>D6+G6+J6</f>
        <v>26600.0</v>
      </c>
      <c r="N6" s="7">
        <f>L6-M6</f>
        <v>1130.0</v>
      </c>
    </row>
    <row r="7" spans="2:15">
      <c r="B7" s="3" t="s">
        <v>154</v>
      </c>
      <c r="C7" s="4">
        <v>25300</v>
      </c>
      <c r="D7" s="7">
        <f>'Monthly P&amp;L'!C14</f>
        <v>25300.0</v>
      </c>
      <c r="E7" s="7">
        <f>C7-D7</f>
        <v>0.0</v>
      </c>
      <c r="F7" s="4">
        <v>25300</v>
      </c>
      <c r="G7" s="7">
        <f>'Monthly P&amp;L'!D14</f>
        <v>25300.0</v>
      </c>
      <c r="H7" s="7">
        <f>F7-G7</f>
        <v>0.0</v>
      </c>
      <c r="I7" s="4">
        <v>25300</v>
      </c>
      <c r="J7" s="7">
        <f>'Monthly P&amp;L'!E14</f>
        <v>25300.0</v>
      </c>
      <c r="K7" s="7">
        <f>I7-J7</f>
        <v>0.0</v>
      </c>
      <c r="L7" s="7">
        <f>C7+F7+I7</f>
        <v>75900.0</v>
      </c>
      <c r="M7" s="7">
        <f>D7+G7+J7</f>
        <v>75900.0</v>
      </c>
      <c r="N7" s="7">
        <f>L7-M7</f>
        <v>0.0</v>
      </c>
    </row>
    <row r="8" spans="2:15">
      <c r="B8" s="3" t="s">
        <v>158</v>
      </c>
      <c r="C8" s="4">
        <v>37843.5</v>
      </c>
      <c r="D8" s="7">
        <f>'Monthly P&amp;L'!C22</f>
        <v>38843.5</v>
      </c>
      <c r="E8" s="7">
        <f>C8-D8</f>
        <v>-1000.0</v>
      </c>
      <c r="F8" s="4">
        <v>39343.5</v>
      </c>
      <c r="G8" s="7">
        <f>'Monthly P&amp;L'!D22</f>
        <v>38843.5</v>
      </c>
      <c r="H8" s="7">
        <f>F8-G8</f>
        <v>500.0</v>
      </c>
      <c r="I8" s="4">
        <v>46143.5</v>
      </c>
      <c r="J8" s="7">
        <f>'Monthly P&amp;L'!E22</f>
        <v>46743.5</v>
      </c>
      <c r="K8" s="7">
        <f>I8-J8</f>
        <v>-600.0</v>
      </c>
      <c r="L8" s="7">
        <f>C8+F8+I8</f>
        <v>123330.5</v>
      </c>
      <c r="M8" s="7">
        <f>D8+G8+J8</f>
        <v>124430.5</v>
      </c>
      <c r="N8" s="7">
        <f>L8-M8</f>
        <v>-1100.0</v>
      </c>
    </row>
    <row r="9" spans="2:15">
      <c r="B9" s="3" t="s">
        <v>163</v>
      </c>
      <c r="C9" s="4">
        <v>3831.5</v>
      </c>
      <c r="D9" s="7">
        <f>'Monthly P&amp;L'!C27</f>
        <v>1581.5</v>
      </c>
      <c r="E9" s="7">
        <f>C9-D9</f>
        <v>2250.0</v>
      </c>
      <c r="F9" s="4">
        <v>856.5</v>
      </c>
      <c r="G9" s="7">
        <f>'Monthly P&amp;L'!D27</f>
        <v>3756.5</v>
      </c>
      <c r="H9" s="7">
        <f>F9-G9</f>
        <v>-2900.0</v>
      </c>
      <c r="I9" s="4">
        <v>4589</v>
      </c>
      <c r="J9" s="7">
        <f>'Monthly P&amp;L'!E27</f>
        <v>2944.0</v>
      </c>
      <c r="K9" s="7">
        <f>I9-J9</f>
        <v>1645.0</v>
      </c>
      <c r="L9" s="7">
        <f>C9+F9+I9</f>
        <v>9277.0</v>
      </c>
      <c r="M9" s="7">
        <f>D9+G9+J9</f>
        <v>8282.0</v>
      </c>
      <c r="N9" s="7">
        <f>L9-M9</f>
        <v>995.0</v>
      </c>
    </row>
    <row r="10" spans="2:15">
      <c r="B10" s="3" t="s">
        <v>100</v>
      </c>
      <c r="C10" s="4">
        <v>55125</v>
      </c>
      <c r="D10" s="7">
        <f>'Revenue Plan'!C14</f>
        <v>57125.0</v>
      </c>
      <c r="E10" s="7">
        <f>C10-D10</f>
        <v>-2000.0</v>
      </c>
      <c r="F10" s="4">
        <v>51643.75</v>
      </c>
      <c r="G10" s="7">
        <f>'Revenue Plan'!D14</f>
        <v>52143.75</v>
      </c>
      <c r="H10" s="7">
        <f>F10-G10</f>
        <v>-500.0</v>
      </c>
      <c r="I10" s="4">
        <v>56268.75</v>
      </c>
      <c r="J10" s="7">
        <f>'Revenue Plan'!E14</f>
        <v>54768.75</v>
      </c>
      <c r="K10" s="7">
        <f>I10-J10</f>
        <v>1500.0</v>
      </c>
      <c r="L10" s="7">
        <f>C10+F10+I10</f>
        <v>163037.5</v>
      </c>
      <c r="M10" s="7">
        <f>D10+G10+J10</f>
        <v>164037.5</v>
      </c>
      <c r="N10" s="7">
        <f>L10-M10</f>
        <v>-1000.0</v>
      </c>
    </row>
    <row r="11" spans="2:15">
      <c r="B11" s="3" t="s">
        <v>182</v>
      </c>
      <c r="C11" s="4">
        <v>39200</v>
      </c>
      <c r="D11" s="7">
        <f>'Cash Roll-Forward'!C8</f>
        <v>40384.0</v>
      </c>
      <c r="E11" s="7">
        <f>C11-D11</f>
        <v>-1184.0</v>
      </c>
      <c r="F11" s="4">
        <v>40000</v>
      </c>
      <c r="G11" s="7">
        <f>'Cash Roll-Forward'!D8</f>
        <v>41676.75</v>
      </c>
      <c r="H11" s="7">
        <f>F11-G11</f>
        <v>-1676.75</v>
      </c>
      <c r="I11" s="4">
        <v>40925</v>
      </c>
      <c r="J11" s="7">
        <f>'Cash Roll-Forward'!E8</f>
        <v>41964.59</v>
      </c>
      <c r="K11" s="7">
        <f>I11-J11</f>
        <v>-1039.59</v>
      </c>
      <c r="L11" s="7">
        <f>I11</f>
        <v>40925.0</v>
      </c>
      <c r="M11" s="7">
        <f>J11</f>
        <v>41964.59</v>
      </c>
      <c r="N11" s="7">
        <f>L11-M11</f>
        <v>-1039.59</v>
      </c>
    </row>
  </sheetData>
  <mergeCells count="1">
    <mergeCell ref="B2:O2"/>
  </mergeCells>
  <conditionalFormatting sqref="N5:N11">
    <cfRule type="cellIs" dxfId="0" priority="1" operator="less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 Me</vt:lpstr>
      <vt:lpstr>Assumptions</vt:lpstr>
      <vt:lpstr>Staff &amp; Payroll</vt:lpstr>
      <vt:lpstr>Revenue Plan</vt:lpstr>
      <vt:lpstr>Operating Expenses</vt:lpstr>
      <vt:lpstr>CapEx &amp; Loan</vt:lpstr>
      <vt:lpstr>Monthly P&amp;L</vt:lpstr>
      <vt:lpstr>Cash Flow</vt:lpstr>
      <vt:lpstr>Cash Roll-Forward</vt:lpstr>
      <vt:lpstr>Plan vs Actual</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Harbor Creative Studio · FY2026 Budget &amp; Cash Flow Forecast</dc:title>
  <dc:creator/>
  <dc:description>Teaching workbook. Formula-only, macro-free .xlsx.</dc:description>
  <cp:lastModifiedBy/>
  <dcterms:created xsi:type="dcterms:W3CDTF">2026-09-22T06:21:27Z</dcterms:created>
  <dcterms:modified xsi:type="dcterms:W3CDTF">2026-09-22T06:21:27Z</dcterms:modified>
</cp:coreProperties>
</file>